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ورودی و مقایسه" sheetId="2" state="visible" r:id="rId4"/>
    <sheet name="اقساط مساوی" sheetId="3" state="visible" r:id="rId5"/>
    <sheet name="اصل ثابت" sheetId="4" state="visible" r:id="rId6"/>
    <sheet name="روش قدیمی" sheetId="5" state="visible" r:id="rId7"/>
    <sheet name="تقویم" sheetId="6" state="visible" r:id="rId8"/>
  </sheets>
  <definedNames>
    <definedName function="false" hidden="false" localSheetId="3" name="_xlnm.Print_Titles" vbProcedure="false">'اصل ثابت'!$7:$7</definedName>
    <definedName function="false" hidden="false" localSheetId="2" name="_xlnm.Print_Titles" vbProcedure="false">'اقساط مساوی'!$7:$7</definedName>
    <definedName function="false" hidden="false" localSheetId="4" name="_xlnm.Print_Titles" vbProcedure="false">'روش قدیمی'!$7:$7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<sst xmlns="http://schemas.openxmlformats.org/spreadsheetml/2006/main" count="69" uniqueCount="51">
  <si>
    <t xml:space="preserve">محاسبهٔ اقساط وام</t>
  </si>
  <si>
    <t xml:space="preserve">محاسبهٔ اقساط وام با سه روش اقساط مساوی، اصل ثابت و روش قدیمی (نیمه‌مدت)؛ جدول تا ۶۰ قسط با تاریخ سررسید شمسی و مقایسهٔ جمع سود.</t>
  </si>
  <si>
    <t xml:space="preserve">روش استفاده</t>
  </si>
  <si>
    <t xml:space="preserve">1</t>
  </si>
  <si>
    <t xml:space="preserve">مبلغ وام، نرخ سود سالانه، تعداد اقساط و تاریخ اولین قسط را در برگهٔ «ورودی و مقایسه» وارد کنید.</t>
  </si>
  <si>
    <t xml:space="preserve">2</t>
  </si>
  <si>
    <t xml:space="preserve">جدول‌ها تا ۶۰ قسط هستند؛ ورودی نامعتبر محاسبه را متوقف می‌کند. اختلاف گردکردن در مانده و قسط آخر تسویه می‌شود.</t>
  </si>
  <si>
    <t xml:space="preserve">3</t>
  </si>
  <si>
    <t xml:space="preserve">روش سوم «قدیمی / نیمه‌مدت» است: جمع سود = اصل وام × نرخ سالانه × (تعداد اقساط + ۱) ÷ ۲۴. این روش با سود سادهٔ کل مدت متفاوت است.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</si>
  <si>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</si>
  <si>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</si>
  <si>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</si>
  <si>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محاسبهٔ اقساط وام</t>
  </si>
  <si>
    <t xml:space="preserve">آموزش: محاسبهٔ قسط وام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</si>
  <si>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</si>
  <si>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</si>
  <si>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خانه‌های سبز را تغییر دهید.</t>
  </si>
  <si>
    <t xml:space="preserve">مبلغ وام (ریال)</t>
  </si>
  <si>
    <t xml:space="preserve">نرخ سود سالانه</t>
  </si>
  <si>
    <t xml:space="preserve">تعداد اقساط (حداکثر ۶۰)</t>
  </si>
  <si>
    <t xml:space="preserve">تاریخ اولین قسط (شمسی)</t>
  </si>
  <si>
    <t xml:space="preserve">1405/09/05</t>
  </si>
  <si>
    <t xml:space="preserve">شاخص</t>
  </si>
  <si>
    <t xml:space="preserve">اقساط مساوی</t>
  </si>
  <si>
    <t xml:space="preserve">اصل ثابت</t>
  </si>
  <si>
    <t xml:space="preserve">روش قدیمی</t>
  </si>
  <si>
    <t xml:space="preserve">قسط اول</t>
  </si>
  <si>
    <t xml:space="preserve">قسط آخر</t>
  </si>
  <si>
    <t xml:space="preserve">جمع سود</t>
  </si>
  <si>
    <t xml:space="preserve">جمع پرداختی</t>
  </si>
  <si>
    <t xml:space="preserve">وضعیت ورودی</t>
  </si>
  <si>
    <t xml:space="preserve">تهیه‌شده در hrfinance.xyz</t>
  </si>
  <si>
    <t xml:space="preserve">جدول اقساط — اقساط مساوی</t>
  </si>
  <si>
    <t xml:space="preserve">این برگه از برگهٔ «ورودی و مقایسه» محاسبه می‌شود.</t>
  </si>
  <si>
    <t xml:space="preserve">مبلغ هر قسط:</t>
  </si>
  <si>
    <t xml:space="preserve">قسط</t>
  </si>
  <si>
    <t xml:space="preserve">سررسید</t>
  </si>
  <si>
    <t xml:space="preserve">ماندهٔ ابتدای دوره</t>
  </si>
  <si>
    <t xml:space="preserve">سود</t>
  </si>
  <si>
    <t xml:space="preserve">اصل</t>
  </si>
  <si>
    <t xml:space="preserve">مبلغ قسط</t>
  </si>
  <si>
    <t xml:space="preserve">ماندهٔ پایان دوره</t>
  </si>
  <si>
    <t xml:space="preserve">جدول اقساط — اصل ثابت</t>
  </si>
  <si>
    <t xml:space="preserve">اصل هر قسط:</t>
  </si>
  <si>
    <t xml:space="preserve">جدول اقساط — روش قدیمی (نیمه‌مدت)</t>
  </si>
  <si>
    <t xml:space="preserve">جمع سود = مبلغ وام × نرخ سالانه × (تعداد اقساط + ۱) ÷ ۲۴</t>
  </si>
  <si>
    <t xml:space="preserve">جمع سود:</t>
  </si>
  <si>
    <t xml:space="preserve">سال</t>
  </si>
  <si>
    <t xml:space="preserve">۱ فروردین (میلادی)</t>
  </si>
  <si>
    <t xml:space="preserve">جدول کمکی تبدیل تاریخ؛ تغییر ندهید.</t>
  </si>
  <si>
    <r>
      <rPr>
        <sz val="11"/>
        <color theme="1"/>
        <rFont val="Arial"/>
        <family val="2"/>
        <charset val="1"/>
      </rPr>
      <t xml:space="preserve">سال ۱۴۳۰ فقط مرز پایان محاسبات است؛ بازهٔ ورودی ۱۳۹۰ تا ۱۴۲۹</t>
    </r>
    <r>
      <rPr>
        <sz val="11"/>
        <color theme="1"/>
        <rFont val="Noto Sans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</si>
</sst>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\-#,##0"/>
    <numFmt numFmtId="166" formatCode="0.00%"/>
    <numFmt numFmtId="167" formatCode="yyyy/mm/dd"/>
    <numFmt numFmtId="168" formatCode="General"/>
  </numFmts>
  <fonts count="17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sz val="9"/>
      <color rgb="FF64748B"/>
      <name val="Tahoma"/>
      <family val="0"/>
      <charset val="1"/>
    </font>
    <font>
      <b val="true"/>
      <sz val="10"/>
      <color rgb="FFFFFFFF"/>
      <name val="Tahoma"/>
      <family val="2"/>
      <charset val="1"/>
    </font>
    <font>
      <b val="true"/>
      <sz val="11"/>
      <color rgb="FF0F2A4A"/>
      <name val="Tahoma"/>
      <family val="0"/>
      <charset val="1"/>
    </font>
    <font>
      <sz val="11"/>
      <color theme="1"/>
      <name val="Tahoma"/>
      <family val="2"/>
      <charset val="1"/>
    </font>
    <font>
      <b val="true"/>
      <sz val="11"/>
      <color rgb="FF163354"/>
      <name val="Tahoma"/>
      <family val="2"/>
      <charset val="1"/>
    </font>
    <font>
      <sz val="10"/>
      <name val="Tahoma"/>
      <family val="0"/>
      <charset val="1"/>
    </font>
    <font>
      <sz val="11"/>
      <color theme="1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16335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163354"/>
      <rgbColor rgb="FF339966"/>
      <rgbColor rgb="FF003300"/>
      <rgbColor rgb="FF333300"/>
      <rgbColor rgb="FFB91C1C"/>
      <rgbColor rgb="FF993366"/>
      <rgbColor rgb="FF333399"/>
      <rgbColor rgb="FF0F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loan-installment/" TargetMode="External"/><Relationship Id="rId2" Type="http://schemas.openxmlformats.org/officeDocument/2006/relationships/hyperlink" Target="https://hrfinance.xyz/blog/loan-installment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loan-installmen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30" hidden="false" customHeight="true" outlineLevel="0" collapsed="false">
      <c r="A5" s="5" t="s">
        <v>3</v>
      </c>
      <c r="B5" s="3" t="s">
        <v>4</v>
      </c>
    </row>
    <row r="6" customFormat="false" ht="43.5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محاسبهٔ اقساط وام"/>
    <hyperlink ref="B14" r:id="rId2" display="آموزش: محاسبهٔ قسط وام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N17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20"/>
    <col collapsed="false" customWidth="true" hidden="true" outlineLevel="0" max="14" min="10" style="1" width="13"/>
  </cols>
  <sheetData>
    <row r="1" customFormat="false" ht="30" hidden="false" customHeight="true" outlineLevel="0" collapsed="false">
      <c r="A1" s="10" t="s">
        <v>0</v>
      </c>
      <c r="B1" s="10"/>
      <c r="C1" s="10"/>
      <c r="D1" s="10"/>
    </row>
    <row r="2" customFormat="false" ht="15" hidden="false" customHeight="true" outlineLevel="0" collapsed="false">
      <c r="A2" s="11" t="s">
        <v>16</v>
      </c>
      <c r="B2" s="11"/>
      <c r="C2" s="11"/>
      <c r="D2" s="11"/>
    </row>
    <row r="4" customFormat="false" ht="15" hidden="false" customHeight="true" outlineLevel="0" collapsed="false">
      <c r="A4" s="12" t="s">
        <v>17</v>
      </c>
      <c r="B4" s="13" t="n">
        <v>100000000</v>
      </c>
    </row>
    <row r="5" customFormat="false" ht="15" hidden="false" customHeight="true" outlineLevel="0" collapsed="false">
      <c r="A5" s="12" t="s">
        <v>18</v>
      </c>
      <c r="B5" s="14" t="n">
        <v>0.18</v>
      </c>
    </row>
    <row r="6" customFormat="false" ht="15" hidden="false" customHeight="true" outlineLevel="0" collapsed="false">
      <c r="A6" s="12" t="s">
        <v>19</v>
      </c>
      <c r="B6" s="15" t="n">
        <v>12</v>
      </c>
    </row>
    <row r="7" customFormat="false" ht="15" hidden="false" customHeight="true" outlineLevel="0" collapsed="false">
      <c r="A7" s="12" t="s">
        <v>20</v>
      </c>
      <c r="B7" s="15" t="s">
        <v>21</v>
      </c>
      <c r="J7" s="16" t="str">
        <f aca="false">SUBSTITUTE(SUBSTITUTE(SUBSTITUTE(SUBSTITUTE(SUBSTITUTE(SUBSTITUTE(SUBSTITUTE(SUBSTITUTE(SUBSTITUTE(SUBSTITUTE(SUBSTITUTE(SUBSTITUTE(SUBSTITUTE(SUBSTITUTE(SUBSTITUTE(SUBSTITUTE(SUBSTITUTE(SUBSTITUTE(SUBSTITUTE(SUBSTITUTE(TRIM(B7&amp;""),"۰","0"),"۱","1"),"۲","2"),"۳","3"),"۴","4"),"۵","5"),"۶","6"),"۷","7"),"۸","8"),"۹","9"),"٠","0"),"١","1"),"٢","2"),"٣","3"),"٤","4"),"٥","5"),"٦","6"),"٧","7"),"٨","8"),"٩","9")</f>
        <v>1405/09/05</v>
      </c>
      <c r="K7" s="16" t="n">
        <f aca="false">IFERROR(VALUE(LEFT(J7,4)),"")</f>
        <v>1405</v>
      </c>
      <c r="L7" s="16" t="n">
        <f aca="false">IFERROR(VALUE(MID(J7,6,2)),"")</f>
        <v>9</v>
      </c>
      <c r="M7" s="16" t="n">
        <f aca="false">IFERROR(VALUE(RIGHT(J7,2)),"")</f>
        <v>5</v>
      </c>
      <c r="N7" s="17" t="n">
        <f aca="false">IFERROR(IF(AND(LEN(J7)=10,MID(J7,5,1)="/",MID(J7,8,1)="/",J7=TEXT(K7,"0000")&amp;"/"&amp;TEXT(L7,"00")&amp;"/"&amp;TEXT(M7,"00"),K7&gt;=1390,K7&lt;=1429,L7&gt;=1,L7&lt;=12,M7&gt;=1,M7&lt;=IF(L7&lt;=6,31,IF(L7&lt;=11,30,VLOOKUP(K7+1,تقویم!$A$2:$B$42,2,0)-VLOOKUP(K7,تقویم!$A$2:$B$42,2,0)-336))),VLOOKUP(K7,تقویم!$A$2:$B$42,2,0)+IF(L7&lt;=6,(L7-1)*31,186+(L7-7)*30)+M7-1,""),"")</f>
        <v>46352</v>
      </c>
    </row>
    <row r="9" customFormat="false" ht="30" hidden="false" customHeight="true" outlineLevel="0" collapsed="false">
      <c r="A9" s="18" t="s">
        <v>22</v>
      </c>
      <c r="B9" s="18" t="s">
        <v>23</v>
      </c>
      <c r="C9" s="18" t="s">
        <v>24</v>
      </c>
      <c r="D9" s="18" t="s">
        <v>25</v>
      </c>
    </row>
    <row r="10" customFormat="false" ht="15.75" hidden="false" customHeight="true" outlineLevel="0" collapsed="false">
      <c r="A10" s="12" t="s">
        <v>26</v>
      </c>
      <c r="B10" s="19" t="n">
        <f aca="false">IF($B$14="آماده",'اقساط مساوی'!F8,"ورودی نامعتبر")</f>
        <v>9167999</v>
      </c>
      <c r="C10" s="19" t="n">
        <f aca="false">IF($B$14="آماده",'اصل ثابت'!F8,"ورودی نامعتبر")</f>
        <v>9833333</v>
      </c>
      <c r="D10" s="19" t="n">
        <f aca="false">IF($B$14="آماده",'روش قدیمی'!F8,"ورودی نامعتبر")</f>
        <v>9145833</v>
      </c>
    </row>
    <row r="11" customFormat="false" ht="15.75" hidden="false" customHeight="true" outlineLevel="0" collapsed="false">
      <c r="A11" s="12" t="s">
        <v>27</v>
      </c>
      <c r="B11" s="19" t="n">
        <f aca="false">IF($B$14="آماده",INDEX('اقساط مساوی'!F8:F67,$B$6),"ورودی نامعتبر")</f>
        <v>9168002</v>
      </c>
      <c r="C11" s="19" t="n">
        <f aca="false">IF($B$14="آماده",INDEX('اصل ثابت'!F8:F67,$B$6),"ورودی نامعتبر")</f>
        <v>8458337</v>
      </c>
      <c r="D11" s="19" t="n">
        <f aca="false">IF($B$14="آماده",INDEX('روش قدیمی'!F8:F67,$B$6),"ورودی نامعتبر")</f>
        <v>9145837</v>
      </c>
    </row>
    <row r="12" customFormat="false" ht="15.75" hidden="false" customHeight="true" outlineLevel="0" collapsed="false">
      <c r="A12" s="12" t="s">
        <v>28</v>
      </c>
      <c r="B12" s="19" t="n">
        <f aca="false">IF($B$14="آماده",SUM('اقساط مساوی'!D8:D67),"ورودی نامعتبر")</f>
        <v>10015991</v>
      </c>
      <c r="C12" s="19" t="n">
        <f aca="false">IF($B$14="آماده",SUM('اصل ثابت'!D8:D67),"ورودی نامعتبر")</f>
        <v>9750000</v>
      </c>
      <c r="D12" s="19" t="n">
        <f aca="false">IF($B$14="آماده",SUM('روش قدیمی'!D8:D67),"ورودی نامعتبر")</f>
        <v>9750000</v>
      </c>
    </row>
    <row r="13" customFormat="false" ht="15.75" hidden="false" customHeight="true" outlineLevel="0" collapsed="false">
      <c r="A13" s="12" t="s">
        <v>29</v>
      </c>
      <c r="B13" s="19" t="n">
        <f aca="false">IF($B$14="آماده",SUM('اقساط مساوی'!F8:F67),"ورودی نامعتبر")</f>
        <v>110015991</v>
      </c>
      <c r="C13" s="19" t="n">
        <f aca="false">IF($B$14="آماده",SUM('اصل ثابت'!F8:F67),"ورودی نامعتبر")</f>
        <v>109750000</v>
      </c>
      <c r="D13" s="19" t="n">
        <f aca="false">IF($B$14="آماده",SUM('روش قدیمی'!F8:F67),"ورودی نامعتبر")</f>
        <v>109750000</v>
      </c>
    </row>
    <row r="14" customFormat="false" ht="30" hidden="false" customHeight="true" outlineLevel="0" collapsed="false">
      <c r="A14" s="20" t="s">
        <v>30</v>
      </c>
      <c r="B14" s="21" t="str">
        <f aca="false">IF(NOT(IF(ISNUMBER(B4),AND(B4&gt;=0,B4&lt;=999999999999999,B4=INT(B4)),FALSE())),"مبلغ وام نامعتبر",IF(B4=0,"مبلغ وام باید مثبت باشد",IF(NOT(AND(ISNUMBER(B5),B5&gt;=0)),"نرخ سود نامعتبر",IF(NOT(IF(ISNUMBER(B6),AND(B6&gt;=1,B6&lt;=60,B6=INT(B6)),FALSE())),"تعداد اقساط نامعتبر",IF(NOT(ISNUMBER(N7)),"تاریخ اولین قسط نامعتبر","آماده")))))</f>
        <v>آماده</v>
      </c>
      <c r="C14" s="21"/>
      <c r="D14" s="21"/>
    </row>
    <row r="16" customFormat="false" ht="15" hidden="false" customHeight="true" outlineLevel="0" collapsed="false">
      <c r="A16" s="11" t="s">
        <v>31</v>
      </c>
      <c r="B16" s="11"/>
      <c r="C16" s="11"/>
      <c r="D16" s="11"/>
    </row>
    <row r="17" customFormat="false" ht="15" hidden="false" customHeight="true" outlineLevel="0" collapsed="false">
      <c r="A17" s="22" t="s">
        <v>12</v>
      </c>
      <c r="B17" s="22"/>
      <c r="C17" s="22"/>
      <c r="D17" s="22"/>
    </row>
  </sheetData>
  <sheetProtection sheet="true" formatColumns="false" formatRows="false"/>
  <mergeCells count="5">
    <mergeCell ref="A1:D1"/>
    <mergeCell ref="A2:D2"/>
    <mergeCell ref="B14:D14"/>
    <mergeCell ref="A16:D16"/>
    <mergeCell ref="A17:D17"/>
  </mergeCells>
  <conditionalFormatting sqref="B10:D14">
    <cfRule type="containsText" priority="2" operator="containsText" aboveAverage="0" equalAverage="0" bottom="0" percent="0" rank="0" text="نامعتبر" dxfId="0">
      <formula>NOT(ISERROR(SEARCH("نامعتبر",B10)))</formula>
    </cfRule>
    <cfRule type="containsText" priority="3" operator="containsText" aboveAverage="0" equalAverage="0" bottom="0" percent="0" rank="0" text="ناقص" dxfId="0">
      <formula>NOT(ISERROR(SEARCH("ناقص",B10)))</formula>
    </cfRule>
    <cfRule type="containsText" priority="4" operator="containsText" aboveAverage="0" equalAverage="0" bottom="0" percent="0" rank="0" text="تعریف‌نشده" dxfId="0">
      <formula>NOT(ISERROR(SEARCH("تعریف‌نشده",B10)))</formula>
    </cfRule>
    <cfRule type="containsText" priority="5" operator="containsText" aboveAverage="0" equalAverage="0" bottom="0" percent="0" rank="0" text="بیش از" dxfId="0">
      <formula>NOT(ISERROR(SEARCH("بیش از",B10)))</formula>
    </cfRule>
    <cfRule type="containsText" priority="6" operator="containsText" aboveAverage="0" equalAverage="0" bottom="0" percent="0" rank="0" text="اصلاح کنید" dxfId="0">
      <formula>NOT(ISERROR(SEARCH("اصلاح کنید",B10)))</formula>
    </cfRule>
    <cfRule type="containsText" priority="7" operator="containsText" aboveAverage="0" equalAverage="0" bottom="0" percent="0" rank="0" text="وارد کنید" dxfId="0">
      <formula>NOT(ISERROR(SEARCH("وارد کنید",B10)))</formula>
    </cfRule>
  </conditionalFormatting>
  <dataValidations count="4">
    <dataValidation allowBlank="true" error="عدد صحیح در محدودهٔ مجاز وارد کنید." errorStyle="stop" errorTitle="ورودی نامعتبر" operator="between" showDropDown="false" showErrorMessage="true" showInputMessage="false" sqref="B6" type="whole">
      <formula1>1</formula1>
      <formula2>60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B7" type="custom">
      <formula1>ISNUMBER(N7)</formula1>
      <formula2>0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B4" type="whole">
      <formula1>1</formula1>
      <formula2>999999999999999</formula2>
    </dataValidation>
    <dataValidation allowBlank="true" error="نرخ سود سالانه باید عدد یا درصد غیرمنفی باشد." errorStyle="stop" errorTitle="ورودی نامعتبر" operator="between" showDropDown="false" showErrorMessage="true" showInputMessage="false" sqref="B5" type="custom">
      <formula1>AND(ISNUMBER(B5),B5&gt;=0)</formula1>
      <formula2>0</formula2>
    </dataValidation>
  </dataValidations>
  <hyperlinks>
    <hyperlink ref="A17" r:id="rId1" display="نسخهٔ آنلاین: محاسبهٔ اقساط وام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M6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4"/>
    <col collapsed="false" customWidth="true" hidden="false" outlineLevel="0" max="3" min="3" style="1" width="18"/>
    <col collapsed="false" customWidth="true" hidden="false" outlineLevel="0" max="6" min="4" style="1" width="16"/>
    <col collapsed="false" customWidth="true" hidden="false" outlineLevel="0" max="7" min="7" style="1" width="18"/>
    <col collapsed="false" customWidth="true" hidden="true" outlineLevel="0" max="13" min="10" style="1" width="13"/>
  </cols>
  <sheetData>
    <row r="1" customFormat="false" ht="30" hidden="false" customHeight="true" outlineLevel="0" collapsed="false">
      <c r="A1" s="10" t="s">
        <v>32</v>
      </c>
      <c r="B1" s="10"/>
      <c r="C1" s="10"/>
      <c r="D1" s="10"/>
      <c r="E1" s="10"/>
      <c r="F1" s="10"/>
      <c r="G1" s="10"/>
    </row>
    <row r="2" customFormat="false" ht="15" hidden="false" customHeight="true" outlineLevel="0" collapsed="false">
      <c r="A2" s="11" t="s">
        <v>33</v>
      </c>
      <c r="B2" s="11"/>
      <c r="C2" s="11"/>
      <c r="D2" s="11"/>
      <c r="E2" s="11"/>
      <c r="F2" s="11"/>
      <c r="G2" s="11"/>
    </row>
    <row r="4" customFormat="false" ht="15" hidden="false" customHeight="true" outlineLevel="0" collapsed="false">
      <c r="A4" s="23" t="s">
        <v>34</v>
      </c>
      <c r="B4" s="23"/>
      <c r="C4" s="19" t="n">
        <f aca="false">IF('ورودی و مقایسه'!$B$14="آماده",ROUND(PMT('ورودی و مقایسه'!$B$5/12,'ورودی و مقایسه'!$B$6,-'ورودی و مقایسه'!$B$4),0),"ورودی نامعتبر")</f>
        <v>9167999</v>
      </c>
    </row>
    <row r="7" customFormat="false" ht="30" hidden="false" customHeight="true" outlineLevel="0" collapsed="false">
      <c r="A7" s="18" t="s">
        <v>35</v>
      </c>
      <c r="B7" s="18" t="s">
        <v>36</v>
      </c>
      <c r="C7" s="18" t="s">
        <v>37</v>
      </c>
      <c r="D7" s="18" t="s">
        <v>38</v>
      </c>
      <c r="E7" s="18" t="s">
        <v>39</v>
      </c>
      <c r="F7" s="18" t="s">
        <v>40</v>
      </c>
      <c r="G7" s="18" t="s">
        <v>41</v>
      </c>
    </row>
    <row r="8" customFormat="false" ht="15" hidden="false" customHeight="true" outlineLevel="0" collapsed="false">
      <c r="A8" s="24" t="n">
        <f aca="false">IF('ورودی و مقایسه'!$B$14="آماده",IF(1&lt;='ورودی و مقایسه'!$B$6,1,""),"")</f>
        <v>1</v>
      </c>
      <c r="B8" s="24" t="str">
        <f aca="false">IF(LEN(A8&amp;"")=0,"",IF(ISNUMBER(M8),K8&amp;"/"&amp;TEXT(L8,"00")&amp;"/"&amp;TEXT(M8,"00"),"تاریخ خارج از بازه"))</f>
        <v>1405/09/05</v>
      </c>
      <c r="C8" s="25" t="n">
        <f aca="false">IF(A8="","",'ورودی و مقایسه'!$B$4)</f>
        <v>100000000</v>
      </c>
      <c r="D8" s="25" t="n">
        <f aca="false">IF(A8="","",ROUND(C8*'ورودی و مقایسه'!$B$5/12,0))</f>
        <v>1500000</v>
      </c>
      <c r="E8" s="25" t="n">
        <f aca="false">IF(LEN(A8&amp;"")=0,"",IF(A8='ورودی و مقایسه'!$B$6,C8,MAX(0,MIN(C8,$C$4-D8))))</f>
        <v>7667999</v>
      </c>
      <c r="F8" s="25" t="n">
        <f aca="false">IF(A8="","",D8+E8)</f>
        <v>9167999</v>
      </c>
      <c r="G8" s="25" t="n">
        <f aca="false">IF(A8="","",C8-E8)</f>
        <v>92332001</v>
      </c>
      <c r="J8" s="20" t="n">
        <f aca="false">IF(AND('ورودی و مقایسه'!$B$14="آماده",ISNUMBER('ورودی و مقایسه'!$N$7)),('ورودی و مقایسه'!$L$7-1)+0,"")</f>
        <v>8</v>
      </c>
      <c r="K8" s="20" t="n">
        <f aca="false">IF(ISNUMBER(J8),'ورودی و مقایسه'!$K$7+INT(J8/12),"")</f>
        <v>1405</v>
      </c>
      <c r="L8" s="20" t="n">
        <f aca="false">IF(ISNUMBER(J8),MOD(J8,12)+1,"")</f>
        <v>9</v>
      </c>
      <c r="M8" s="20" t="n">
        <f aca="false">IF(NOT(ISNUMBER(J8)),"",IFERROR(IF(OR(K8&lt;1390,K8&gt;1429),"",MIN('ورودی و مقایسه'!$M$7,IF(L8&lt;=6,31,IF(L8&lt;=11,30,VLOOKUP(K8+1,تقویم!$A$2:$B$42,2,0)-VLOOKUP(K8,تقویم!$A$2:$B$42,2,0)-336)))),""))</f>
        <v>5</v>
      </c>
    </row>
    <row r="9" customFormat="false" ht="15" hidden="false" customHeight="true" outlineLevel="0" collapsed="false">
      <c r="A9" s="26" t="n">
        <f aca="false">IF('ورودی و مقایسه'!$B$14="آماده",IF(2&lt;='ورودی و مقایسه'!$B$6,2,""),"")</f>
        <v>2</v>
      </c>
      <c r="B9" s="26" t="str">
        <f aca="false">IF(LEN(A9&amp;"")=0,"",IF(ISNUMBER(M9),K9&amp;"/"&amp;TEXT(L9,"00")&amp;"/"&amp;TEXT(M9,"00"),"تاریخ خارج از بازه"))</f>
        <v>1405/10/05</v>
      </c>
      <c r="C9" s="27" t="n">
        <f aca="false">IF(A9="","",G8)</f>
        <v>92332001</v>
      </c>
      <c r="D9" s="27" t="n">
        <f aca="false">IF(A9="","",ROUND(C9*'ورودی و مقایسه'!$B$5/12,0))</f>
        <v>1384980</v>
      </c>
      <c r="E9" s="27" t="n">
        <f aca="false">IF(LEN(A9&amp;"")=0,"",IF(A9='ورودی و مقایسه'!$B$6,C9,MAX(0,MIN(C9,$C$4-D9))))</f>
        <v>7783019</v>
      </c>
      <c r="F9" s="27" t="n">
        <f aca="false">IF(A9="","",D9+E9)</f>
        <v>9167999</v>
      </c>
      <c r="G9" s="27" t="n">
        <f aca="false">IF(A9="","",C9-E9)</f>
        <v>84548982</v>
      </c>
      <c r="J9" s="20" t="n">
        <f aca="false">IF(AND('ورودی و مقایسه'!$B$14="آماده",ISNUMBER('ورودی و مقایسه'!$N$7)),('ورودی و مقایسه'!$L$7-1)+1,"")</f>
        <v>9</v>
      </c>
      <c r="K9" s="20" t="n">
        <f aca="false">IF(ISNUMBER(J9),'ورودی و مقایسه'!$K$7+INT(J9/12),"")</f>
        <v>1405</v>
      </c>
      <c r="L9" s="20" t="n">
        <f aca="false">IF(ISNUMBER(J9),MOD(J9,12)+1,"")</f>
        <v>10</v>
      </c>
      <c r="M9" s="20" t="n">
        <f aca="false">IF(NOT(ISNUMBER(J9)),"",IFERROR(IF(OR(K9&lt;1390,K9&gt;1429),"",MIN('ورودی و مقایسه'!$M$7,IF(L9&lt;=6,31,IF(L9&lt;=11,30,VLOOKUP(K9+1,تقویم!$A$2:$B$42,2,0)-VLOOKUP(K9,تقویم!$A$2:$B$42,2,0)-336)))),""))</f>
        <v>5</v>
      </c>
    </row>
    <row r="10" customFormat="false" ht="15" hidden="false" customHeight="true" outlineLevel="0" collapsed="false">
      <c r="A10" s="24" t="n">
        <f aca="false">IF('ورودی و مقایسه'!$B$14="آماده",IF(3&lt;='ورودی و مقایسه'!$B$6,3,""),"")</f>
        <v>3</v>
      </c>
      <c r="B10" s="24" t="str">
        <f aca="false">IF(LEN(A10&amp;"")=0,"",IF(ISNUMBER(M10),K10&amp;"/"&amp;TEXT(L10,"00")&amp;"/"&amp;TEXT(M10,"00"),"تاریخ خارج از بازه"))</f>
        <v>1405/11/05</v>
      </c>
      <c r="C10" s="25" t="n">
        <f aca="false">IF(A10="","",G9)</f>
        <v>84548982</v>
      </c>
      <c r="D10" s="25" t="n">
        <f aca="false">IF(A10="","",ROUND(C10*'ورودی و مقایسه'!$B$5/12,0))</f>
        <v>1268235</v>
      </c>
      <c r="E10" s="25" t="n">
        <f aca="false">IF(LEN(A10&amp;"")=0,"",IF(A10='ورودی و مقایسه'!$B$6,C10,MAX(0,MIN(C10,$C$4-D10))))</f>
        <v>7899764</v>
      </c>
      <c r="F10" s="25" t="n">
        <f aca="false">IF(A10="","",D10+E10)</f>
        <v>9167999</v>
      </c>
      <c r="G10" s="25" t="n">
        <f aca="false">IF(A10="","",C10-E10)</f>
        <v>76649218</v>
      </c>
      <c r="J10" s="20" t="n">
        <f aca="false">IF(AND('ورودی و مقایسه'!$B$14="آماده",ISNUMBER('ورودی و مقایسه'!$N$7)),('ورودی و مقایسه'!$L$7-1)+2,"")</f>
        <v>10</v>
      </c>
      <c r="K10" s="20" t="n">
        <f aca="false">IF(ISNUMBER(J10),'ورودی و مقایسه'!$K$7+INT(J10/12),"")</f>
        <v>1405</v>
      </c>
      <c r="L10" s="20" t="n">
        <f aca="false">IF(ISNUMBER(J10),MOD(J10,12)+1,"")</f>
        <v>11</v>
      </c>
      <c r="M10" s="20" t="n">
        <f aca="false">IF(NOT(ISNUMBER(J10)),"",IFERROR(IF(OR(K10&lt;1390,K10&gt;1429),"",MIN('ورودی و مقایسه'!$M$7,IF(L10&lt;=6,31,IF(L10&lt;=11,30,VLOOKUP(K10+1,تقویم!$A$2:$B$42,2,0)-VLOOKUP(K10,تقویم!$A$2:$B$42,2,0)-336)))),""))</f>
        <v>5</v>
      </c>
    </row>
    <row r="11" customFormat="false" ht="15" hidden="false" customHeight="true" outlineLevel="0" collapsed="false">
      <c r="A11" s="26" t="n">
        <f aca="false">IF('ورودی و مقایسه'!$B$14="آماده",IF(4&lt;='ورودی و مقایسه'!$B$6,4,""),"")</f>
        <v>4</v>
      </c>
      <c r="B11" s="26" t="str">
        <f aca="false">IF(LEN(A11&amp;"")=0,"",IF(ISNUMBER(M11),K11&amp;"/"&amp;TEXT(L11,"00")&amp;"/"&amp;TEXT(M11,"00"),"تاریخ خارج از بازه"))</f>
        <v>1405/12/05</v>
      </c>
      <c r="C11" s="27" t="n">
        <f aca="false">IF(A11="","",G10)</f>
        <v>76649218</v>
      </c>
      <c r="D11" s="27" t="n">
        <f aca="false">IF(A11="","",ROUND(C11*'ورودی و مقایسه'!$B$5/12,0))</f>
        <v>1149738</v>
      </c>
      <c r="E11" s="27" t="n">
        <f aca="false">IF(LEN(A11&amp;"")=0,"",IF(A11='ورودی و مقایسه'!$B$6,C11,MAX(0,MIN(C11,$C$4-D11))))</f>
        <v>8018261</v>
      </c>
      <c r="F11" s="27" t="n">
        <f aca="false">IF(A11="","",D11+E11)</f>
        <v>9167999</v>
      </c>
      <c r="G11" s="27" t="n">
        <f aca="false">IF(A11="","",C11-E11)</f>
        <v>68630957</v>
      </c>
      <c r="J11" s="20" t="n">
        <f aca="false">IF(AND('ورودی و مقایسه'!$B$14="آماده",ISNUMBER('ورودی و مقایسه'!$N$7)),('ورودی و مقایسه'!$L$7-1)+3,"")</f>
        <v>11</v>
      </c>
      <c r="K11" s="20" t="n">
        <f aca="false">IF(ISNUMBER(J11),'ورودی و مقایسه'!$K$7+INT(J11/12),"")</f>
        <v>1405</v>
      </c>
      <c r="L11" s="20" t="n">
        <f aca="false">IF(ISNUMBER(J11),MOD(J11,12)+1,"")</f>
        <v>12</v>
      </c>
      <c r="M11" s="20" t="n">
        <f aca="false">IF(NOT(ISNUMBER(J11)),"",IFERROR(IF(OR(K11&lt;1390,K11&gt;1429),"",MIN('ورودی و مقایسه'!$M$7,IF(L11&lt;=6,31,IF(L11&lt;=11,30,VLOOKUP(K11+1,تقویم!$A$2:$B$42,2,0)-VLOOKUP(K11,تقویم!$A$2:$B$42,2,0)-336)))),""))</f>
        <v>5</v>
      </c>
    </row>
    <row r="12" customFormat="false" ht="15" hidden="false" customHeight="true" outlineLevel="0" collapsed="false">
      <c r="A12" s="24" t="n">
        <f aca="false">IF('ورودی و مقایسه'!$B$14="آماده",IF(5&lt;='ورودی و مقایسه'!$B$6,5,""),"")</f>
        <v>5</v>
      </c>
      <c r="B12" s="24" t="str">
        <f aca="false">IF(LEN(A12&amp;"")=0,"",IF(ISNUMBER(M12),K12&amp;"/"&amp;TEXT(L12,"00")&amp;"/"&amp;TEXT(M12,"00"),"تاریخ خارج از بازه"))</f>
        <v>1406/01/05</v>
      </c>
      <c r="C12" s="25" t="n">
        <f aca="false">IF(A12="","",G11)</f>
        <v>68630957</v>
      </c>
      <c r="D12" s="25" t="n">
        <f aca="false">IF(A12="","",ROUND(C12*'ورودی و مقایسه'!$B$5/12,0))</f>
        <v>1029464</v>
      </c>
      <c r="E12" s="25" t="n">
        <f aca="false">IF(LEN(A12&amp;"")=0,"",IF(A12='ورودی و مقایسه'!$B$6,C12,MAX(0,MIN(C12,$C$4-D12))))</f>
        <v>8138535</v>
      </c>
      <c r="F12" s="25" t="n">
        <f aca="false">IF(A12="","",D12+E12)</f>
        <v>9167999</v>
      </c>
      <c r="G12" s="25" t="n">
        <f aca="false">IF(A12="","",C12-E12)</f>
        <v>60492422</v>
      </c>
      <c r="J12" s="20" t="n">
        <f aca="false">IF(AND('ورودی و مقایسه'!$B$14="آماده",ISNUMBER('ورودی و مقایسه'!$N$7)),('ورودی و مقایسه'!$L$7-1)+4,"")</f>
        <v>12</v>
      </c>
      <c r="K12" s="20" t="n">
        <f aca="false">IF(ISNUMBER(J12),'ورودی و مقایسه'!$K$7+INT(J12/12),"")</f>
        <v>1406</v>
      </c>
      <c r="L12" s="20" t="n">
        <f aca="false">IF(ISNUMBER(J12),MOD(J12,12)+1,"")</f>
        <v>1</v>
      </c>
      <c r="M12" s="20" t="n">
        <f aca="false">IF(NOT(ISNUMBER(J12)),"",IFERROR(IF(OR(K12&lt;1390,K12&gt;1429),"",MIN('ورودی و مقایسه'!$M$7,IF(L12&lt;=6,31,IF(L12&lt;=11,30,VLOOKUP(K12+1,تقویم!$A$2:$B$42,2,0)-VLOOKUP(K12,تقویم!$A$2:$B$42,2,0)-336)))),""))</f>
        <v>5</v>
      </c>
    </row>
    <row r="13" customFormat="false" ht="15" hidden="false" customHeight="true" outlineLevel="0" collapsed="false">
      <c r="A13" s="26" t="n">
        <f aca="false">IF('ورودی و مقایسه'!$B$14="آماده",IF(6&lt;='ورودی و مقایسه'!$B$6,6,""),"")</f>
        <v>6</v>
      </c>
      <c r="B13" s="26" t="str">
        <f aca="false">IF(LEN(A13&amp;"")=0,"",IF(ISNUMBER(M13),K13&amp;"/"&amp;TEXT(L13,"00")&amp;"/"&amp;TEXT(M13,"00"),"تاریخ خارج از بازه"))</f>
        <v>1406/02/05</v>
      </c>
      <c r="C13" s="27" t="n">
        <f aca="false">IF(A13="","",G12)</f>
        <v>60492422</v>
      </c>
      <c r="D13" s="27" t="n">
        <f aca="false">IF(A13="","",ROUND(C13*'ورودی و مقایسه'!$B$5/12,0))</f>
        <v>907386</v>
      </c>
      <c r="E13" s="27" t="n">
        <f aca="false">IF(LEN(A13&amp;"")=0,"",IF(A13='ورودی و مقایسه'!$B$6,C13,MAX(0,MIN(C13,$C$4-D13))))</f>
        <v>8260613</v>
      </c>
      <c r="F13" s="27" t="n">
        <f aca="false">IF(A13="","",D13+E13)</f>
        <v>9167999</v>
      </c>
      <c r="G13" s="27" t="n">
        <f aca="false">IF(A13="","",C13-E13)</f>
        <v>52231809</v>
      </c>
      <c r="J13" s="20" t="n">
        <f aca="false">IF(AND('ورودی و مقایسه'!$B$14="آماده",ISNUMBER('ورودی و مقایسه'!$N$7)),('ورودی و مقایسه'!$L$7-1)+5,"")</f>
        <v>13</v>
      </c>
      <c r="K13" s="20" t="n">
        <f aca="false">IF(ISNUMBER(J13),'ورودی و مقایسه'!$K$7+INT(J13/12),"")</f>
        <v>1406</v>
      </c>
      <c r="L13" s="20" t="n">
        <f aca="false">IF(ISNUMBER(J13),MOD(J13,12)+1,"")</f>
        <v>2</v>
      </c>
      <c r="M13" s="20" t="n">
        <f aca="false">IF(NOT(ISNUMBER(J13)),"",IFERROR(IF(OR(K13&lt;1390,K13&gt;1429),"",MIN('ورودی و مقایسه'!$M$7,IF(L13&lt;=6,31,IF(L13&lt;=11,30,VLOOKUP(K13+1,تقویم!$A$2:$B$42,2,0)-VLOOKUP(K13,تقویم!$A$2:$B$42,2,0)-336)))),""))</f>
        <v>5</v>
      </c>
    </row>
    <row r="14" customFormat="false" ht="15" hidden="false" customHeight="true" outlineLevel="0" collapsed="false">
      <c r="A14" s="24" t="n">
        <f aca="false">IF('ورودی و مقایسه'!$B$14="آماده",IF(7&lt;='ورودی و مقایسه'!$B$6,7,""),"")</f>
        <v>7</v>
      </c>
      <c r="B14" s="24" t="str">
        <f aca="false">IF(LEN(A14&amp;"")=0,"",IF(ISNUMBER(M14),K14&amp;"/"&amp;TEXT(L14,"00")&amp;"/"&amp;TEXT(M14,"00"),"تاریخ خارج از بازه"))</f>
        <v>1406/03/05</v>
      </c>
      <c r="C14" s="25" t="n">
        <f aca="false">IF(A14="","",G13)</f>
        <v>52231809</v>
      </c>
      <c r="D14" s="25" t="n">
        <f aca="false">IF(A14="","",ROUND(C14*'ورودی و مقایسه'!$B$5/12,0))</f>
        <v>783477</v>
      </c>
      <c r="E14" s="25" t="n">
        <f aca="false">IF(LEN(A14&amp;"")=0,"",IF(A14='ورودی و مقایسه'!$B$6,C14,MAX(0,MIN(C14,$C$4-D14))))</f>
        <v>8384522</v>
      </c>
      <c r="F14" s="25" t="n">
        <f aca="false">IF(A14="","",D14+E14)</f>
        <v>9167999</v>
      </c>
      <c r="G14" s="25" t="n">
        <f aca="false">IF(A14="","",C14-E14)</f>
        <v>43847287</v>
      </c>
      <c r="J14" s="20" t="n">
        <f aca="false">IF(AND('ورودی و مقایسه'!$B$14="آماده",ISNUMBER('ورودی و مقایسه'!$N$7)),('ورودی و مقایسه'!$L$7-1)+6,"")</f>
        <v>14</v>
      </c>
      <c r="K14" s="20" t="n">
        <f aca="false">IF(ISNUMBER(J14),'ورودی و مقایسه'!$K$7+INT(J14/12),"")</f>
        <v>1406</v>
      </c>
      <c r="L14" s="20" t="n">
        <f aca="false">IF(ISNUMBER(J14),MOD(J14,12)+1,"")</f>
        <v>3</v>
      </c>
      <c r="M14" s="20" t="n">
        <f aca="false">IF(NOT(ISNUMBER(J14)),"",IFERROR(IF(OR(K14&lt;1390,K14&gt;1429),"",MIN('ورودی و مقایسه'!$M$7,IF(L14&lt;=6,31,IF(L14&lt;=11,30,VLOOKUP(K14+1,تقویم!$A$2:$B$42,2,0)-VLOOKUP(K14,تقویم!$A$2:$B$42,2,0)-336)))),""))</f>
        <v>5</v>
      </c>
    </row>
    <row r="15" customFormat="false" ht="15" hidden="false" customHeight="true" outlineLevel="0" collapsed="false">
      <c r="A15" s="26" t="n">
        <f aca="false">IF('ورودی و مقایسه'!$B$14="آماده",IF(8&lt;='ورودی و مقایسه'!$B$6,8,""),"")</f>
        <v>8</v>
      </c>
      <c r="B15" s="26" t="str">
        <f aca="false">IF(LEN(A15&amp;"")=0,"",IF(ISNUMBER(M15),K15&amp;"/"&amp;TEXT(L15,"00")&amp;"/"&amp;TEXT(M15,"00"),"تاریخ خارج از بازه"))</f>
        <v>1406/04/05</v>
      </c>
      <c r="C15" s="27" t="n">
        <f aca="false">IF(A15="","",G14)</f>
        <v>43847287</v>
      </c>
      <c r="D15" s="27" t="n">
        <f aca="false">IF(A15="","",ROUND(C15*'ورودی و مقایسه'!$B$5/12,0))</f>
        <v>657709</v>
      </c>
      <c r="E15" s="27" t="n">
        <f aca="false">IF(LEN(A15&amp;"")=0,"",IF(A15='ورودی و مقایسه'!$B$6,C15,MAX(0,MIN(C15,$C$4-D15))))</f>
        <v>8510290</v>
      </c>
      <c r="F15" s="27" t="n">
        <f aca="false">IF(A15="","",D15+E15)</f>
        <v>9167999</v>
      </c>
      <c r="G15" s="27" t="n">
        <f aca="false">IF(A15="","",C15-E15)</f>
        <v>35336997</v>
      </c>
      <c r="J15" s="20" t="n">
        <f aca="false">IF(AND('ورودی و مقایسه'!$B$14="آماده",ISNUMBER('ورودی و مقایسه'!$N$7)),('ورودی و مقایسه'!$L$7-1)+7,"")</f>
        <v>15</v>
      </c>
      <c r="K15" s="20" t="n">
        <f aca="false">IF(ISNUMBER(J15),'ورودی و مقایسه'!$K$7+INT(J15/12),"")</f>
        <v>1406</v>
      </c>
      <c r="L15" s="20" t="n">
        <f aca="false">IF(ISNUMBER(J15),MOD(J15,12)+1,"")</f>
        <v>4</v>
      </c>
      <c r="M15" s="20" t="n">
        <f aca="false">IF(NOT(ISNUMBER(J15)),"",IFERROR(IF(OR(K15&lt;1390,K15&gt;1429),"",MIN('ورودی و مقایسه'!$M$7,IF(L15&lt;=6,31,IF(L15&lt;=11,30,VLOOKUP(K15+1,تقویم!$A$2:$B$42,2,0)-VLOOKUP(K15,تقویم!$A$2:$B$42,2,0)-336)))),""))</f>
        <v>5</v>
      </c>
    </row>
    <row r="16" customFormat="false" ht="15" hidden="false" customHeight="true" outlineLevel="0" collapsed="false">
      <c r="A16" s="24" t="n">
        <f aca="false">IF('ورودی و مقایسه'!$B$14="آماده",IF(9&lt;='ورودی و مقایسه'!$B$6,9,""),"")</f>
        <v>9</v>
      </c>
      <c r="B16" s="24" t="str">
        <f aca="false">IF(LEN(A16&amp;"")=0,"",IF(ISNUMBER(M16),K16&amp;"/"&amp;TEXT(L16,"00")&amp;"/"&amp;TEXT(M16,"00"),"تاریخ خارج از بازه"))</f>
        <v>1406/05/05</v>
      </c>
      <c r="C16" s="25" t="n">
        <f aca="false">IF(A16="","",G15)</f>
        <v>35336997</v>
      </c>
      <c r="D16" s="25" t="n">
        <f aca="false">IF(A16="","",ROUND(C16*'ورودی و مقایسه'!$B$5/12,0))</f>
        <v>530055</v>
      </c>
      <c r="E16" s="25" t="n">
        <f aca="false">IF(LEN(A16&amp;"")=0,"",IF(A16='ورودی و مقایسه'!$B$6,C16,MAX(0,MIN(C16,$C$4-D16))))</f>
        <v>8637944</v>
      </c>
      <c r="F16" s="25" t="n">
        <f aca="false">IF(A16="","",D16+E16)</f>
        <v>9167999</v>
      </c>
      <c r="G16" s="25" t="n">
        <f aca="false">IF(A16="","",C16-E16)</f>
        <v>26699053</v>
      </c>
      <c r="J16" s="20" t="n">
        <f aca="false">IF(AND('ورودی و مقایسه'!$B$14="آماده",ISNUMBER('ورودی و مقایسه'!$N$7)),('ورودی و مقایسه'!$L$7-1)+8,"")</f>
        <v>16</v>
      </c>
      <c r="K16" s="20" t="n">
        <f aca="false">IF(ISNUMBER(J16),'ورودی و مقایسه'!$K$7+INT(J16/12),"")</f>
        <v>1406</v>
      </c>
      <c r="L16" s="20" t="n">
        <f aca="false">IF(ISNUMBER(J16),MOD(J16,12)+1,"")</f>
        <v>5</v>
      </c>
      <c r="M16" s="20" t="n">
        <f aca="false">IF(NOT(ISNUMBER(J16)),"",IFERROR(IF(OR(K16&lt;1390,K16&gt;1429),"",MIN('ورودی و مقایسه'!$M$7,IF(L16&lt;=6,31,IF(L16&lt;=11,30,VLOOKUP(K16+1,تقویم!$A$2:$B$42,2,0)-VLOOKUP(K16,تقویم!$A$2:$B$42,2,0)-336)))),""))</f>
        <v>5</v>
      </c>
    </row>
    <row r="17" customFormat="false" ht="15" hidden="false" customHeight="true" outlineLevel="0" collapsed="false">
      <c r="A17" s="26" t="n">
        <f aca="false">IF('ورودی و مقایسه'!$B$14="آماده",IF(10&lt;='ورودی و مقایسه'!$B$6,10,""),"")</f>
        <v>10</v>
      </c>
      <c r="B17" s="26" t="str">
        <f aca="false">IF(LEN(A17&amp;"")=0,"",IF(ISNUMBER(M17),K17&amp;"/"&amp;TEXT(L17,"00")&amp;"/"&amp;TEXT(M17,"00"),"تاریخ خارج از بازه"))</f>
        <v>1406/06/05</v>
      </c>
      <c r="C17" s="27" t="n">
        <f aca="false">IF(A17="","",G16)</f>
        <v>26699053</v>
      </c>
      <c r="D17" s="27" t="n">
        <f aca="false">IF(A17="","",ROUND(C17*'ورودی و مقایسه'!$B$5/12,0))</f>
        <v>400486</v>
      </c>
      <c r="E17" s="27" t="n">
        <f aca="false">IF(LEN(A17&amp;"")=0,"",IF(A17='ورودی و مقایسه'!$B$6,C17,MAX(0,MIN(C17,$C$4-D17))))</f>
        <v>8767513</v>
      </c>
      <c r="F17" s="27" t="n">
        <f aca="false">IF(A17="","",D17+E17)</f>
        <v>9167999</v>
      </c>
      <c r="G17" s="27" t="n">
        <f aca="false">IF(A17="","",C17-E17)</f>
        <v>17931540</v>
      </c>
      <c r="J17" s="20" t="n">
        <f aca="false">IF(AND('ورودی و مقایسه'!$B$14="آماده",ISNUMBER('ورودی و مقایسه'!$N$7)),('ورودی و مقایسه'!$L$7-1)+9,"")</f>
        <v>17</v>
      </c>
      <c r="K17" s="20" t="n">
        <f aca="false">IF(ISNUMBER(J17),'ورودی و مقایسه'!$K$7+INT(J17/12),"")</f>
        <v>1406</v>
      </c>
      <c r="L17" s="20" t="n">
        <f aca="false">IF(ISNUMBER(J17),MOD(J17,12)+1,"")</f>
        <v>6</v>
      </c>
      <c r="M17" s="20" t="n">
        <f aca="false">IF(NOT(ISNUMBER(J17)),"",IFERROR(IF(OR(K17&lt;1390,K17&gt;1429),"",MIN('ورودی و مقایسه'!$M$7,IF(L17&lt;=6,31,IF(L17&lt;=11,30,VLOOKUP(K17+1,تقویم!$A$2:$B$42,2,0)-VLOOKUP(K17,تقویم!$A$2:$B$42,2,0)-336)))),""))</f>
        <v>5</v>
      </c>
    </row>
    <row r="18" customFormat="false" ht="15" hidden="false" customHeight="true" outlineLevel="0" collapsed="false">
      <c r="A18" s="24" t="n">
        <f aca="false">IF('ورودی و مقایسه'!$B$14="آماده",IF(11&lt;='ورودی و مقایسه'!$B$6,11,""),"")</f>
        <v>11</v>
      </c>
      <c r="B18" s="24" t="str">
        <f aca="false">IF(LEN(A18&amp;"")=0,"",IF(ISNUMBER(M18),K18&amp;"/"&amp;TEXT(L18,"00")&amp;"/"&amp;TEXT(M18,"00"),"تاریخ خارج از بازه"))</f>
        <v>1406/07/05</v>
      </c>
      <c r="C18" s="25" t="n">
        <f aca="false">IF(A18="","",G17)</f>
        <v>17931540</v>
      </c>
      <c r="D18" s="25" t="n">
        <f aca="false">IF(A18="","",ROUND(C18*'ورودی و مقایسه'!$B$5/12,0))</f>
        <v>268973</v>
      </c>
      <c r="E18" s="25" t="n">
        <f aca="false">IF(LEN(A18&amp;"")=0,"",IF(A18='ورودی و مقایسه'!$B$6,C18,MAX(0,MIN(C18,$C$4-D18))))</f>
        <v>8899026</v>
      </c>
      <c r="F18" s="25" t="n">
        <f aca="false">IF(A18="","",D18+E18)</f>
        <v>9167999</v>
      </c>
      <c r="G18" s="25" t="n">
        <f aca="false">IF(A18="","",C18-E18)</f>
        <v>9032514</v>
      </c>
      <c r="J18" s="20" t="n">
        <f aca="false">IF(AND('ورودی و مقایسه'!$B$14="آماده",ISNUMBER('ورودی و مقایسه'!$N$7)),('ورودی و مقایسه'!$L$7-1)+10,"")</f>
        <v>18</v>
      </c>
      <c r="K18" s="20" t="n">
        <f aca="false">IF(ISNUMBER(J18),'ورودی و مقایسه'!$K$7+INT(J18/12),"")</f>
        <v>1406</v>
      </c>
      <c r="L18" s="20" t="n">
        <f aca="false">IF(ISNUMBER(J18),MOD(J18,12)+1,"")</f>
        <v>7</v>
      </c>
      <c r="M18" s="20" t="n">
        <f aca="false">IF(NOT(ISNUMBER(J18)),"",IFERROR(IF(OR(K18&lt;1390,K18&gt;1429),"",MIN('ورودی و مقایسه'!$M$7,IF(L18&lt;=6,31,IF(L18&lt;=11,30,VLOOKUP(K18+1,تقویم!$A$2:$B$42,2,0)-VLOOKUP(K18,تقویم!$A$2:$B$42,2,0)-336)))),""))</f>
        <v>5</v>
      </c>
    </row>
    <row r="19" customFormat="false" ht="15" hidden="false" customHeight="true" outlineLevel="0" collapsed="false">
      <c r="A19" s="26" t="n">
        <f aca="false">IF('ورودی و مقایسه'!$B$14="آماده",IF(12&lt;='ورودی و مقایسه'!$B$6,12,""),"")</f>
        <v>12</v>
      </c>
      <c r="B19" s="26" t="str">
        <f aca="false">IF(LEN(A19&amp;"")=0,"",IF(ISNUMBER(M19),K19&amp;"/"&amp;TEXT(L19,"00")&amp;"/"&amp;TEXT(M19,"00"),"تاریخ خارج از بازه"))</f>
        <v>1406/08/05</v>
      </c>
      <c r="C19" s="27" t="n">
        <f aca="false">IF(A19="","",G18)</f>
        <v>9032514</v>
      </c>
      <c r="D19" s="27" t="n">
        <f aca="false">IF(A19="","",ROUND(C19*'ورودی و مقایسه'!$B$5/12,0))</f>
        <v>135488</v>
      </c>
      <c r="E19" s="27" t="n">
        <f aca="false">IF(LEN(A19&amp;"")=0,"",IF(A19='ورودی و مقایسه'!$B$6,C19,MAX(0,MIN(C19,$C$4-D19))))</f>
        <v>9032514</v>
      </c>
      <c r="F19" s="27" t="n">
        <f aca="false">IF(A19="","",D19+E19)</f>
        <v>9168002</v>
      </c>
      <c r="G19" s="27" t="n">
        <f aca="false">IF(A19="","",C19-E19)</f>
        <v>0</v>
      </c>
      <c r="J19" s="20" t="n">
        <f aca="false">IF(AND('ورودی و مقایسه'!$B$14="آماده",ISNUMBER('ورودی و مقایسه'!$N$7)),('ورودی و مقایسه'!$L$7-1)+11,"")</f>
        <v>19</v>
      </c>
      <c r="K19" s="20" t="n">
        <f aca="false">IF(ISNUMBER(J19),'ورودی و مقایسه'!$K$7+INT(J19/12),"")</f>
        <v>1406</v>
      </c>
      <c r="L19" s="20" t="n">
        <f aca="false">IF(ISNUMBER(J19),MOD(J19,12)+1,"")</f>
        <v>8</v>
      </c>
      <c r="M19" s="20" t="n">
        <f aca="false">IF(NOT(ISNUMBER(J19)),"",IFERROR(IF(OR(K19&lt;1390,K19&gt;1429),"",MIN('ورودی و مقایسه'!$M$7,IF(L19&lt;=6,31,IF(L19&lt;=11,30,VLOOKUP(K19+1,تقویم!$A$2:$B$42,2,0)-VLOOKUP(K19,تقویم!$A$2:$B$42,2,0)-336)))),""))</f>
        <v>5</v>
      </c>
    </row>
    <row r="20" customFormat="false" ht="15" hidden="false" customHeight="true" outlineLevel="0" collapsed="false">
      <c r="A20" s="24" t="str">
        <f aca="false">IF('ورودی و مقایسه'!$B$14="آماده",IF(13&lt;='ورودی و مقایسه'!$B$6,13,""),"")</f>
        <v/>
      </c>
      <c r="B20" s="24" t="str">
        <f aca="false">IF(LEN(A20&amp;"")=0,"",IF(ISNUMBER(M20),K20&amp;"/"&amp;TEXT(L20,"00")&amp;"/"&amp;TEXT(M20,"00"),"تاریخ خارج از بازه"))</f>
        <v/>
      </c>
      <c r="C20" s="25" t="str">
        <f aca="false">IF(A20="","",G19)</f>
        <v/>
      </c>
      <c r="D20" s="25" t="str">
        <f aca="false">IF(A20="","",ROUND(C20*'ورودی و مقایسه'!$B$5/12,0))</f>
        <v/>
      </c>
      <c r="E20" s="25" t="str">
        <f aca="false">IF(LEN(A20&amp;"")=0,"",IF(A20='ورودی و مقایسه'!$B$6,C20,MAX(0,MIN(C20,$C$4-D20))))</f>
        <v/>
      </c>
      <c r="F20" s="25" t="str">
        <f aca="false">IF(A20="","",D20+E20)</f>
        <v/>
      </c>
      <c r="G20" s="25" t="str">
        <f aca="false">IF(A20="","",C20-E20)</f>
        <v/>
      </c>
      <c r="J20" s="20" t="n">
        <f aca="false">IF(AND('ورودی و مقایسه'!$B$14="آماده",ISNUMBER('ورودی و مقایسه'!$N$7)),('ورودی و مقایسه'!$L$7-1)+12,"")</f>
        <v>20</v>
      </c>
      <c r="K20" s="20" t="n">
        <f aca="false">IF(ISNUMBER(J20),'ورودی و مقایسه'!$K$7+INT(J20/12),"")</f>
        <v>1406</v>
      </c>
      <c r="L20" s="20" t="n">
        <f aca="false">IF(ISNUMBER(J20),MOD(J20,12)+1,"")</f>
        <v>9</v>
      </c>
      <c r="M20" s="20" t="n">
        <f aca="false">IF(NOT(ISNUMBER(J20)),"",IFERROR(IF(OR(K20&lt;1390,K20&gt;1429),"",MIN('ورودی و مقایسه'!$M$7,IF(L20&lt;=6,31,IF(L20&lt;=11,30,VLOOKUP(K20+1,تقویم!$A$2:$B$42,2,0)-VLOOKUP(K20,تقویم!$A$2:$B$42,2,0)-336)))),""))</f>
        <v>5</v>
      </c>
    </row>
    <row r="21" customFormat="false" ht="15" hidden="false" customHeight="true" outlineLevel="0" collapsed="false">
      <c r="A21" s="26" t="str">
        <f aca="false">IF('ورودی و مقایسه'!$B$14="آماده",IF(14&lt;='ورودی و مقایسه'!$B$6,14,""),"")</f>
        <v/>
      </c>
      <c r="B21" s="26" t="str">
        <f aca="false">IF(LEN(A21&amp;"")=0,"",IF(ISNUMBER(M21),K21&amp;"/"&amp;TEXT(L21,"00")&amp;"/"&amp;TEXT(M21,"00"),"تاریخ خارج از بازه"))</f>
        <v/>
      </c>
      <c r="C21" s="27" t="str">
        <f aca="false">IF(A21="","",G20)</f>
        <v/>
      </c>
      <c r="D21" s="27" t="str">
        <f aca="false">IF(A21="","",ROUND(C21*'ورودی و مقایسه'!$B$5/12,0))</f>
        <v/>
      </c>
      <c r="E21" s="27" t="str">
        <f aca="false">IF(LEN(A21&amp;"")=0,"",IF(A21='ورودی و مقایسه'!$B$6,C21,MAX(0,MIN(C21,$C$4-D21))))</f>
        <v/>
      </c>
      <c r="F21" s="27" t="str">
        <f aca="false">IF(A21="","",D21+E21)</f>
        <v/>
      </c>
      <c r="G21" s="27" t="str">
        <f aca="false">IF(A21="","",C21-E21)</f>
        <v/>
      </c>
      <c r="J21" s="20" t="n">
        <f aca="false">IF(AND('ورودی و مقایسه'!$B$14="آماده",ISNUMBER('ورودی و مقایسه'!$N$7)),('ورودی و مقایسه'!$L$7-1)+13,"")</f>
        <v>21</v>
      </c>
      <c r="K21" s="20" t="n">
        <f aca="false">IF(ISNUMBER(J21),'ورودی و مقایسه'!$K$7+INT(J21/12),"")</f>
        <v>1406</v>
      </c>
      <c r="L21" s="20" t="n">
        <f aca="false">IF(ISNUMBER(J21),MOD(J21,12)+1,"")</f>
        <v>10</v>
      </c>
      <c r="M21" s="20" t="n">
        <f aca="false">IF(NOT(ISNUMBER(J21)),"",IFERROR(IF(OR(K21&lt;1390,K21&gt;1429),"",MIN('ورودی و مقایسه'!$M$7,IF(L21&lt;=6,31,IF(L21&lt;=11,30,VLOOKUP(K21+1,تقویم!$A$2:$B$42,2,0)-VLOOKUP(K21,تقویم!$A$2:$B$42,2,0)-336)))),""))</f>
        <v>5</v>
      </c>
    </row>
    <row r="22" customFormat="false" ht="15" hidden="false" customHeight="true" outlineLevel="0" collapsed="false">
      <c r="A22" s="24" t="str">
        <f aca="false">IF('ورودی و مقایسه'!$B$14="آماده",IF(15&lt;='ورودی و مقایسه'!$B$6,15,""),"")</f>
        <v/>
      </c>
      <c r="B22" s="24" t="str">
        <f aca="false">IF(LEN(A22&amp;"")=0,"",IF(ISNUMBER(M22),K22&amp;"/"&amp;TEXT(L22,"00")&amp;"/"&amp;TEXT(M22,"00"),"تاریخ خارج از بازه"))</f>
        <v/>
      </c>
      <c r="C22" s="25" t="str">
        <f aca="false">IF(A22="","",G21)</f>
        <v/>
      </c>
      <c r="D22" s="25" t="str">
        <f aca="false">IF(A22="","",ROUND(C22*'ورودی و مقایسه'!$B$5/12,0))</f>
        <v/>
      </c>
      <c r="E22" s="25" t="str">
        <f aca="false">IF(LEN(A22&amp;"")=0,"",IF(A22='ورودی و مقایسه'!$B$6,C22,MAX(0,MIN(C22,$C$4-D22))))</f>
        <v/>
      </c>
      <c r="F22" s="25" t="str">
        <f aca="false">IF(A22="","",D22+E22)</f>
        <v/>
      </c>
      <c r="G22" s="25" t="str">
        <f aca="false">IF(A22="","",C22-E22)</f>
        <v/>
      </c>
      <c r="J22" s="20" t="n">
        <f aca="false">IF(AND('ورودی و مقایسه'!$B$14="آماده",ISNUMBER('ورودی و مقایسه'!$N$7)),('ورودی و مقایسه'!$L$7-1)+14,"")</f>
        <v>22</v>
      </c>
      <c r="K22" s="20" t="n">
        <f aca="false">IF(ISNUMBER(J22),'ورودی و مقایسه'!$K$7+INT(J22/12),"")</f>
        <v>1406</v>
      </c>
      <c r="L22" s="20" t="n">
        <f aca="false">IF(ISNUMBER(J22),MOD(J22,12)+1,"")</f>
        <v>11</v>
      </c>
      <c r="M22" s="20" t="n">
        <f aca="false">IF(NOT(ISNUMBER(J22)),"",IFERROR(IF(OR(K22&lt;1390,K22&gt;1429),"",MIN('ورودی و مقایسه'!$M$7,IF(L22&lt;=6,31,IF(L22&lt;=11,30,VLOOKUP(K22+1,تقویم!$A$2:$B$42,2,0)-VLOOKUP(K22,تقویم!$A$2:$B$42,2,0)-336)))),""))</f>
        <v>5</v>
      </c>
    </row>
    <row r="23" customFormat="false" ht="15" hidden="false" customHeight="true" outlineLevel="0" collapsed="false">
      <c r="A23" s="26" t="str">
        <f aca="false">IF('ورودی و مقایسه'!$B$14="آماده",IF(16&lt;='ورودی و مقایسه'!$B$6,16,""),"")</f>
        <v/>
      </c>
      <c r="B23" s="26" t="str">
        <f aca="false">IF(LEN(A23&amp;"")=0,"",IF(ISNUMBER(M23),K23&amp;"/"&amp;TEXT(L23,"00")&amp;"/"&amp;TEXT(M23,"00"),"تاریخ خارج از بازه"))</f>
        <v/>
      </c>
      <c r="C23" s="27" t="str">
        <f aca="false">IF(A23="","",G22)</f>
        <v/>
      </c>
      <c r="D23" s="27" t="str">
        <f aca="false">IF(A23="","",ROUND(C23*'ورودی و مقایسه'!$B$5/12,0))</f>
        <v/>
      </c>
      <c r="E23" s="27" t="str">
        <f aca="false">IF(LEN(A23&amp;"")=0,"",IF(A23='ورودی و مقایسه'!$B$6,C23,MAX(0,MIN(C23,$C$4-D23))))</f>
        <v/>
      </c>
      <c r="F23" s="27" t="str">
        <f aca="false">IF(A23="","",D23+E23)</f>
        <v/>
      </c>
      <c r="G23" s="27" t="str">
        <f aca="false">IF(A23="","",C23-E23)</f>
        <v/>
      </c>
      <c r="J23" s="20" t="n">
        <f aca="false">IF(AND('ورودی و مقایسه'!$B$14="آماده",ISNUMBER('ورودی و مقایسه'!$N$7)),('ورودی و مقایسه'!$L$7-1)+15,"")</f>
        <v>23</v>
      </c>
      <c r="K23" s="20" t="n">
        <f aca="false">IF(ISNUMBER(J23),'ورودی و مقایسه'!$K$7+INT(J23/12),"")</f>
        <v>1406</v>
      </c>
      <c r="L23" s="20" t="n">
        <f aca="false">IF(ISNUMBER(J23),MOD(J23,12)+1,"")</f>
        <v>12</v>
      </c>
      <c r="M23" s="20" t="n">
        <f aca="false">IF(NOT(ISNUMBER(J23)),"",IFERROR(IF(OR(K23&lt;1390,K23&gt;1429),"",MIN('ورودی و مقایسه'!$M$7,IF(L23&lt;=6,31,IF(L23&lt;=11,30,VLOOKUP(K23+1,تقویم!$A$2:$B$42,2,0)-VLOOKUP(K23,تقویم!$A$2:$B$42,2,0)-336)))),""))</f>
        <v>5</v>
      </c>
    </row>
    <row r="24" customFormat="false" ht="15" hidden="false" customHeight="true" outlineLevel="0" collapsed="false">
      <c r="A24" s="24" t="str">
        <f aca="false">IF('ورودی و مقایسه'!$B$14="آماده",IF(17&lt;='ورودی و مقایسه'!$B$6,17,""),"")</f>
        <v/>
      </c>
      <c r="B24" s="24" t="str">
        <f aca="false">IF(LEN(A24&amp;"")=0,"",IF(ISNUMBER(M24),K24&amp;"/"&amp;TEXT(L24,"00")&amp;"/"&amp;TEXT(M24,"00"),"تاریخ خارج از بازه"))</f>
        <v/>
      </c>
      <c r="C24" s="25" t="str">
        <f aca="false">IF(A24="","",G23)</f>
        <v/>
      </c>
      <c r="D24" s="25" t="str">
        <f aca="false">IF(A24="","",ROUND(C24*'ورودی و مقایسه'!$B$5/12,0))</f>
        <v/>
      </c>
      <c r="E24" s="25" t="str">
        <f aca="false">IF(LEN(A24&amp;"")=0,"",IF(A24='ورودی و مقایسه'!$B$6,C24,MAX(0,MIN(C24,$C$4-D24))))</f>
        <v/>
      </c>
      <c r="F24" s="25" t="str">
        <f aca="false">IF(A24="","",D24+E24)</f>
        <v/>
      </c>
      <c r="G24" s="25" t="str">
        <f aca="false">IF(A24="","",C24-E24)</f>
        <v/>
      </c>
      <c r="J24" s="20" t="n">
        <f aca="false">IF(AND('ورودی و مقایسه'!$B$14="آماده",ISNUMBER('ورودی و مقایسه'!$N$7)),('ورودی و مقایسه'!$L$7-1)+16,"")</f>
        <v>24</v>
      </c>
      <c r="K24" s="20" t="n">
        <f aca="false">IF(ISNUMBER(J24),'ورودی و مقایسه'!$K$7+INT(J24/12),"")</f>
        <v>1407</v>
      </c>
      <c r="L24" s="20" t="n">
        <f aca="false">IF(ISNUMBER(J24),MOD(J24,12)+1,"")</f>
        <v>1</v>
      </c>
      <c r="M24" s="20" t="n">
        <f aca="false">IF(NOT(ISNUMBER(J24)),"",IFERROR(IF(OR(K24&lt;1390,K24&gt;1429),"",MIN('ورودی و مقایسه'!$M$7,IF(L24&lt;=6,31,IF(L24&lt;=11,30,VLOOKUP(K24+1,تقویم!$A$2:$B$42,2,0)-VLOOKUP(K24,تقویم!$A$2:$B$42,2,0)-336)))),""))</f>
        <v>5</v>
      </c>
    </row>
    <row r="25" customFormat="false" ht="15" hidden="false" customHeight="true" outlineLevel="0" collapsed="false">
      <c r="A25" s="26" t="str">
        <f aca="false">IF('ورودی و مقایسه'!$B$14="آماده",IF(18&lt;='ورودی و مقایسه'!$B$6,18,""),"")</f>
        <v/>
      </c>
      <c r="B25" s="26" t="str">
        <f aca="false">IF(LEN(A25&amp;"")=0,"",IF(ISNUMBER(M25),K25&amp;"/"&amp;TEXT(L25,"00")&amp;"/"&amp;TEXT(M25,"00"),"تاریخ خارج از بازه"))</f>
        <v/>
      </c>
      <c r="C25" s="27" t="str">
        <f aca="false">IF(A25="","",G24)</f>
        <v/>
      </c>
      <c r="D25" s="27" t="str">
        <f aca="false">IF(A25="","",ROUND(C25*'ورودی و مقایسه'!$B$5/12,0))</f>
        <v/>
      </c>
      <c r="E25" s="27" t="str">
        <f aca="false">IF(LEN(A25&amp;"")=0,"",IF(A25='ورودی و مقایسه'!$B$6,C25,MAX(0,MIN(C25,$C$4-D25))))</f>
        <v/>
      </c>
      <c r="F25" s="27" t="str">
        <f aca="false">IF(A25="","",D25+E25)</f>
        <v/>
      </c>
      <c r="G25" s="27" t="str">
        <f aca="false">IF(A25="","",C25-E25)</f>
        <v/>
      </c>
      <c r="J25" s="20" t="n">
        <f aca="false">IF(AND('ورودی و مقایسه'!$B$14="آماده",ISNUMBER('ورودی و مقایسه'!$N$7)),('ورودی و مقایسه'!$L$7-1)+17,"")</f>
        <v>25</v>
      </c>
      <c r="K25" s="20" t="n">
        <f aca="false">IF(ISNUMBER(J25),'ورودی و مقایسه'!$K$7+INT(J25/12),"")</f>
        <v>1407</v>
      </c>
      <c r="L25" s="20" t="n">
        <f aca="false">IF(ISNUMBER(J25),MOD(J25,12)+1,"")</f>
        <v>2</v>
      </c>
      <c r="M25" s="20" t="n">
        <f aca="false">IF(NOT(ISNUMBER(J25)),"",IFERROR(IF(OR(K25&lt;1390,K25&gt;1429),"",MIN('ورودی و مقایسه'!$M$7,IF(L25&lt;=6,31,IF(L25&lt;=11,30,VLOOKUP(K25+1,تقویم!$A$2:$B$42,2,0)-VLOOKUP(K25,تقویم!$A$2:$B$42,2,0)-336)))),""))</f>
        <v>5</v>
      </c>
    </row>
    <row r="26" customFormat="false" ht="15" hidden="false" customHeight="true" outlineLevel="0" collapsed="false">
      <c r="A26" s="24" t="str">
        <f aca="false">IF('ورودی و مقایسه'!$B$14="آماده",IF(19&lt;='ورودی و مقایسه'!$B$6,19,""),"")</f>
        <v/>
      </c>
      <c r="B26" s="24" t="str">
        <f aca="false">IF(LEN(A26&amp;"")=0,"",IF(ISNUMBER(M26),K26&amp;"/"&amp;TEXT(L26,"00")&amp;"/"&amp;TEXT(M26,"00"),"تاریخ خارج از بازه"))</f>
        <v/>
      </c>
      <c r="C26" s="25" t="str">
        <f aca="false">IF(A26="","",G25)</f>
        <v/>
      </c>
      <c r="D26" s="25" t="str">
        <f aca="false">IF(A26="","",ROUND(C26*'ورودی و مقایسه'!$B$5/12,0))</f>
        <v/>
      </c>
      <c r="E26" s="25" t="str">
        <f aca="false">IF(LEN(A26&amp;"")=0,"",IF(A26='ورودی و مقایسه'!$B$6,C26,MAX(0,MIN(C26,$C$4-D26))))</f>
        <v/>
      </c>
      <c r="F26" s="25" t="str">
        <f aca="false">IF(A26="","",D26+E26)</f>
        <v/>
      </c>
      <c r="G26" s="25" t="str">
        <f aca="false">IF(A26="","",C26-E26)</f>
        <v/>
      </c>
      <c r="J26" s="20" t="n">
        <f aca="false">IF(AND('ورودی و مقایسه'!$B$14="آماده",ISNUMBER('ورودی و مقایسه'!$N$7)),('ورودی و مقایسه'!$L$7-1)+18,"")</f>
        <v>26</v>
      </c>
      <c r="K26" s="20" t="n">
        <f aca="false">IF(ISNUMBER(J26),'ورودی و مقایسه'!$K$7+INT(J26/12),"")</f>
        <v>1407</v>
      </c>
      <c r="L26" s="20" t="n">
        <f aca="false">IF(ISNUMBER(J26),MOD(J26,12)+1,"")</f>
        <v>3</v>
      </c>
      <c r="M26" s="20" t="n">
        <f aca="false">IF(NOT(ISNUMBER(J26)),"",IFERROR(IF(OR(K26&lt;1390,K26&gt;1429),"",MIN('ورودی و مقایسه'!$M$7,IF(L26&lt;=6,31,IF(L26&lt;=11,30,VLOOKUP(K26+1,تقویم!$A$2:$B$42,2,0)-VLOOKUP(K26,تقویم!$A$2:$B$42,2,0)-336)))),""))</f>
        <v>5</v>
      </c>
    </row>
    <row r="27" customFormat="false" ht="15" hidden="false" customHeight="true" outlineLevel="0" collapsed="false">
      <c r="A27" s="26" t="str">
        <f aca="false">IF('ورودی و مقایسه'!$B$14="آماده",IF(20&lt;='ورودی و مقایسه'!$B$6,20,""),"")</f>
        <v/>
      </c>
      <c r="B27" s="26" t="str">
        <f aca="false">IF(LEN(A27&amp;"")=0,"",IF(ISNUMBER(M27),K27&amp;"/"&amp;TEXT(L27,"00")&amp;"/"&amp;TEXT(M27,"00"),"تاریخ خارج از بازه"))</f>
        <v/>
      </c>
      <c r="C27" s="27" t="str">
        <f aca="false">IF(A27="","",G26)</f>
        <v/>
      </c>
      <c r="D27" s="27" t="str">
        <f aca="false">IF(A27="","",ROUND(C27*'ورودی و مقایسه'!$B$5/12,0))</f>
        <v/>
      </c>
      <c r="E27" s="27" t="str">
        <f aca="false">IF(LEN(A27&amp;"")=0,"",IF(A27='ورودی و مقایسه'!$B$6,C27,MAX(0,MIN(C27,$C$4-D27))))</f>
        <v/>
      </c>
      <c r="F27" s="27" t="str">
        <f aca="false">IF(A27="","",D27+E27)</f>
        <v/>
      </c>
      <c r="G27" s="27" t="str">
        <f aca="false">IF(A27="","",C27-E27)</f>
        <v/>
      </c>
      <c r="J27" s="20" t="n">
        <f aca="false">IF(AND('ورودی و مقایسه'!$B$14="آماده",ISNUMBER('ورودی و مقایسه'!$N$7)),('ورودی و مقایسه'!$L$7-1)+19,"")</f>
        <v>27</v>
      </c>
      <c r="K27" s="20" t="n">
        <f aca="false">IF(ISNUMBER(J27),'ورودی و مقایسه'!$K$7+INT(J27/12),"")</f>
        <v>1407</v>
      </c>
      <c r="L27" s="20" t="n">
        <f aca="false">IF(ISNUMBER(J27),MOD(J27,12)+1,"")</f>
        <v>4</v>
      </c>
      <c r="M27" s="20" t="n">
        <f aca="false">IF(NOT(ISNUMBER(J27)),"",IFERROR(IF(OR(K27&lt;1390,K27&gt;1429),"",MIN('ورودی و مقایسه'!$M$7,IF(L27&lt;=6,31,IF(L27&lt;=11,30,VLOOKUP(K27+1,تقویم!$A$2:$B$42,2,0)-VLOOKUP(K27,تقویم!$A$2:$B$42,2,0)-336)))),""))</f>
        <v>5</v>
      </c>
    </row>
    <row r="28" customFormat="false" ht="15" hidden="false" customHeight="true" outlineLevel="0" collapsed="false">
      <c r="A28" s="24" t="str">
        <f aca="false">IF('ورودی و مقایسه'!$B$14="آماده",IF(21&lt;='ورودی و مقایسه'!$B$6,21,""),"")</f>
        <v/>
      </c>
      <c r="B28" s="24" t="str">
        <f aca="false">IF(LEN(A28&amp;"")=0,"",IF(ISNUMBER(M28),K28&amp;"/"&amp;TEXT(L28,"00")&amp;"/"&amp;TEXT(M28,"00"),"تاریخ خارج از بازه"))</f>
        <v/>
      </c>
      <c r="C28" s="25" t="str">
        <f aca="false">IF(A28="","",G27)</f>
        <v/>
      </c>
      <c r="D28" s="25" t="str">
        <f aca="false">IF(A28="","",ROUND(C28*'ورودی و مقایسه'!$B$5/12,0))</f>
        <v/>
      </c>
      <c r="E28" s="25" t="str">
        <f aca="false">IF(LEN(A28&amp;"")=0,"",IF(A28='ورودی و مقایسه'!$B$6,C28,MAX(0,MIN(C28,$C$4-D28))))</f>
        <v/>
      </c>
      <c r="F28" s="25" t="str">
        <f aca="false">IF(A28="","",D28+E28)</f>
        <v/>
      </c>
      <c r="G28" s="25" t="str">
        <f aca="false">IF(A28="","",C28-E28)</f>
        <v/>
      </c>
      <c r="J28" s="20" t="n">
        <f aca="false">IF(AND('ورودی و مقایسه'!$B$14="آماده",ISNUMBER('ورودی و مقایسه'!$N$7)),('ورودی و مقایسه'!$L$7-1)+20,"")</f>
        <v>28</v>
      </c>
      <c r="K28" s="20" t="n">
        <f aca="false">IF(ISNUMBER(J28),'ورودی و مقایسه'!$K$7+INT(J28/12),"")</f>
        <v>1407</v>
      </c>
      <c r="L28" s="20" t="n">
        <f aca="false">IF(ISNUMBER(J28),MOD(J28,12)+1,"")</f>
        <v>5</v>
      </c>
      <c r="M28" s="20" t="n">
        <f aca="false">IF(NOT(ISNUMBER(J28)),"",IFERROR(IF(OR(K28&lt;1390,K28&gt;1429),"",MIN('ورودی و مقایسه'!$M$7,IF(L28&lt;=6,31,IF(L28&lt;=11,30,VLOOKUP(K28+1,تقویم!$A$2:$B$42,2,0)-VLOOKUP(K28,تقویم!$A$2:$B$42,2,0)-336)))),""))</f>
        <v>5</v>
      </c>
    </row>
    <row r="29" customFormat="false" ht="15" hidden="false" customHeight="true" outlineLevel="0" collapsed="false">
      <c r="A29" s="26" t="str">
        <f aca="false">IF('ورودی و مقایسه'!$B$14="آماده",IF(22&lt;='ورودی و مقایسه'!$B$6,22,""),"")</f>
        <v/>
      </c>
      <c r="B29" s="26" t="str">
        <f aca="false">IF(LEN(A29&amp;"")=0,"",IF(ISNUMBER(M29),K29&amp;"/"&amp;TEXT(L29,"00")&amp;"/"&amp;TEXT(M29,"00"),"تاریخ خارج از بازه"))</f>
        <v/>
      </c>
      <c r="C29" s="27" t="str">
        <f aca="false">IF(A29="","",G28)</f>
        <v/>
      </c>
      <c r="D29" s="27" t="str">
        <f aca="false">IF(A29="","",ROUND(C29*'ورودی و مقایسه'!$B$5/12,0))</f>
        <v/>
      </c>
      <c r="E29" s="27" t="str">
        <f aca="false">IF(LEN(A29&amp;"")=0,"",IF(A29='ورودی و مقایسه'!$B$6,C29,MAX(0,MIN(C29,$C$4-D29))))</f>
        <v/>
      </c>
      <c r="F29" s="27" t="str">
        <f aca="false">IF(A29="","",D29+E29)</f>
        <v/>
      </c>
      <c r="G29" s="27" t="str">
        <f aca="false">IF(A29="","",C29-E29)</f>
        <v/>
      </c>
      <c r="J29" s="20" t="n">
        <f aca="false">IF(AND('ورودی و مقایسه'!$B$14="آماده",ISNUMBER('ورودی و مقایسه'!$N$7)),('ورودی و مقایسه'!$L$7-1)+21,"")</f>
        <v>29</v>
      </c>
      <c r="K29" s="20" t="n">
        <f aca="false">IF(ISNUMBER(J29),'ورودی و مقایسه'!$K$7+INT(J29/12),"")</f>
        <v>1407</v>
      </c>
      <c r="L29" s="20" t="n">
        <f aca="false">IF(ISNUMBER(J29),MOD(J29,12)+1,"")</f>
        <v>6</v>
      </c>
      <c r="M29" s="20" t="n">
        <f aca="false">IF(NOT(ISNUMBER(J29)),"",IFERROR(IF(OR(K29&lt;1390,K29&gt;1429),"",MIN('ورودی و مقایسه'!$M$7,IF(L29&lt;=6,31,IF(L29&lt;=11,30,VLOOKUP(K29+1,تقویم!$A$2:$B$42,2,0)-VLOOKUP(K29,تقویم!$A$2:$B$42,2,0)-336)))),""))</f>
        <v>5</v>
      </c>
    </row>
    <row r="30" customFormat="false" ht="15" hidden="false" customHeight="true" outlineLevel="0" collapsed="false">
      <c r="A30" s="24" t="str">
        <f aca="false">IF('ورودی و مقایسه'!$B$14="آماده",IF(23&lt;='ورودی و مقایسه'!$B$6,23,""),"")</f>
        <v/>
      </c>
      <c r="B30" s="24" t="str">
        <f aca="false">IF(LEN(A30&amp;"")=0,"",IF(ISNUMBER(M30),K30&amp;"/"&amp;TEXT(L30,"00")&amp;"/"&amp;TEXT(M30,"00"),"تاریخ خارج از بازه"))</f>
        <v/>
      </c>
      <c r="C30" s="25" t="str">
        <f aca="false">IF(A30="","",G29)</f>
        <v/>
      </c>
      <c r="D30" s="25" t="str">
        <f aca="false">IF(A30="","",ROUND(C30*'ورودی و مقایسه'!$B$5/12,0))</f>
        <v/>
      </c>
      <c r="E30" s="25" t="str">
        <f aca="false">IF(LEN(A30&amp;"")=0,"",IF(A30='ورودی و مقایسه'!$B$6,C30,MAX(0,MIN(C30,$C$4-D30))))</f>
        <v/>
      </c>
      <c r="F30" s="25" t="str">
        <f aca="false">IF(A30="","",D30+E30)</f>
        <v/>
      </c>
      <c r="G30" s="25" t="str">
        <f aca="false">IF(A30="","",C30-E30)</f>
        <v/>
      </c>
      <c r="J30" s="20" t="n">
        <f aca="false">IF(AND('ورودی و مقایسه'!$B$14="آماده",ISNUMBER('ورودی و مقایسه'!$N$7)),('ورودی و مقایسه'!$L$7-1)+22,"")</f>
        <v>30</v>
      </c>
      <c r="K30" s="20" t="n">
        <f aca="false">IF(ISNUMBER(J30),'ورودی و مقایسه'!$K$7+INT(J30/12),"")</f>
        <v>1407</v>
      </c>
      <c r="L30" s="20" t="n">
        <f aca="false">IF(ISNUMBER(J30),MOD(J30,12)+1,"")</f>
        <v>7</v>
      </c>
      <c r="M30" s="20" t="n">
        <f aca="false">IF(NOT(ISNUMBER(J30)),"",IFERROR(IF(OR(K30&lt;1390,K30&gt;1429),"",MIN('ورودی و مقایسه'!$M$7,IF(L30&lt;=6,31,IF(L30&lt;=11,30,VLOOKUP(K30+1,تقویم!$A$2:$B$42,2,0)-VLOOKUP(K30,تقویم!$A$2:$B$42,2,0)-336)))),""))</f>
        <v>5</v>
      </c>
    </row>
    <row r="31" customFormat="false" ht="15" hidden="false" customHeight="true" outlineLevel="0" collapsed="false">
      <c r="A31" s="26" t="str">
        <f aca="false">IF('ورودی و مقایسه'!$B$14="آماده",IF(24&lt;='ورودی و مقایسه'!$B$6,24,""),"")</f>
        <v/>
      </c>
      <c r="B31" s="26" t="str">
        <f aca="false">IF(LEN(A31&amp;"")=0,"",IF(ISNUMBER(M31),K31&amp;"/"&amp;TEXT(L31,"00")&amp;"/"&amp;TEXT(M31,"00"),"تاریخ خارج از بازه"))</f>
        <v/>
      </c>
      <c r="C31" s="27" t="str">
        <f aca="false">IF(A31="","",G30)</f>
        <v/>
      </c>
      <c r="D31" s="27" t="str">
        <f aca="false">IF(A31="","",ROUND(C31*'ورودی و مقایسه'!$B$5/12,0))</f>
        <v/>
      </c>
      <c r="E31" s="27" t="str">
        <f aca="false">IF(LEN(A31&amp;"")=0,"",IF(A31='ورودی و مقایسه'!$B$6,C31,MAX(0,MIN(C31,$C$4-D31))))</f>
        <v/>
      </c>
      <c r="F31" s="27" t="str">
        <f aca="false">IF(A31="","",D31+E31)</f>
        <v/>
      </c>
      <c r="G31" s="27" t="str">
        <f aca="false">IF(A31="","",C31-E31)</f>
        <v/>
      </c>
      <c r="J31" s="20" t="n">
        <f aca="false">IF(AND('ورودی و مقایسه'!$B$14="آماده",ISNUMBER('ورودی و مقایسه'!$N$7)),('ورودی و مقایسه'!$L$7-1)+23,"")</f>
        <v>31</v>
      </c>
      <c r="K31" s="20" t="n">
        <f aca="false">IF(ISNUMBER(J31),'ورودی و مقایسه'!$K$7+INT(J31/12),"")</f>
        <v>1407</v>
      </c>
      <c r="L31" s="20" t="n">
        <f aca="false">IF(ISNUMBER(J31),MOD(J31,12)+1,"")</f>
        <v>8</v>
      </c>
      <c r="M31" s="20" t="n">
        <f aca="false">IF(NOT(ISNUMBER(J31)),"",IFERROR(IF(OR(K31&lt;1390,K31&gt;1429),"",MIN('ورودی و مقایسه'!$M$7,IF(L31&lt;=6,31,IF(L31&lt;=11,30,VLOOKUP(K31+1,تقویم!$A$2:$B$42,2,0)-VLOOKUP(K31,تقویم!$A$2:$B$42,2,0)-336)))),""))</f>
        <v>5</v>
      </c>
    </row>
    <row r="32" customFormat="false" ht="15" hidden="false" customHeight="true" outlineLevel="0" collapsed="false">
      <c r="A32" s="24" t="str">
        <f aca="false">IF('ورودی و مقایسه'!$B$14="آماده",IF(25&lt;='ورودی و مقایسه'!$B$6,25,""),"")</f>
        <v/>
      </c>
      <c r="B32" s="24" t="str">
        <f aca="false">IF(LEN(A32&amp;"")=0,"",IF(ISNUMBER(M32),K32&amp;"/"&amp;TEXT(L32,"00")&amp;"/"&amp;TEXT(M32,"00"),"تاریخ خارج از بازه"))</f>
        <v/>
      </c>
      <c r="C32" s="25" t="str">
        <f aca="false">IF(A32="","",G31)</f>
        <v/>
      </c>
      <c r="D32" s="25" t="str">
        <f aca="false">IF(A32="","",ROUND(C32*'ورودی و مقایسه'!$B$5/12,0))</f>
        <v/>
      </c>
      <c r="E32" s="25" t="str">
        <f aca="false">IF(LEN(A32&amp;"")=0,"",IF(A32='ورودی و مقایسه'!$B$6,C32,MAX(0,MIN(C32,$C$4-D32))))</f>
        <v/>
      </c>
      <c r="F32" s="25" t="str">
        <f aca="false">IF(A32="","",D32+E32)</f>
        <v/>
      </c>
      <c r="G32" s="25" t="str">
        <f aca="false">IF(A32="","",C32-E32)</f>
        <v/>
      </c>
      <c r="J32" s="20" t="n">
        <f aca="false">IF(AND('ورودی و مقایسه'!$B$14="آماده",ISNUMBER('ورودی و مقایسه'!$N$7)),('ورودی و مقایسه'!$L$7-1)+24,"")</f>
        <v>32</v>
      </c>
      <c r="K32" s="20" t="n">
        <f aca="false">IF(ISNUMBER(J32),'ورودی و مقایسه'!$K$7+INT(J32/12),"")</f>
        <v>1407</v>
      </c>
      <c r="L32" s="20" t="n">
        <f aca="false">IF(ISNUMBER(J32),MOD(J32,12)+1,"")</f>
        <v>9</v>
      </c>
      <c r="M32" s="20" t="n">
        <f aca="false">IF(NOT(ISNUMBER(J32)),"",IFERROR(IF(OR(K32&lt;1390,K32&gt;1429),"",MIN('ورودی و مقایسه'!$M$7,IF(L32&lt;=6,31,IF(L32&lt;=11,30,VLOOKUP(K32+1,تقویم!$A$2:$B$42,2,0)-VLOOKUP(K32,تقویم!$A$2:$B$42,2,0)-336)))),""))</f>
        <v>5</v>
      </c>
    </row>
    <row r="33" customFormat="false" ht="15" hidden="false" customHeight="true" outlineLevel="0" collapsed="false">
      <c r="A33" s="26" t="str">
        <f aca="false">IF('ورودی و مقایسه'!$B$14="آماده",IF(26&lt;='ورودی و مقایسه'!$B$6,26,""),"")</f>
        <v/>
      </c>
      <c r="B33" s="26" t="str">
        <f aca="false">IF(LEN(A33&amp;"")=0,"",IF(ISNUMBER(M33),K33&amp;"/"&amp;TEXT(L33,"00")&amp;"/"&amp;TEXT(M33,"00"),"تاریخ خارج از بازه"))</f>
        <v/>
      </c>
      <c r="C33" s="27" t="str">
        <f aca="false">IF(A33="","",G32)</f>
        <v/>
      </c>
      <c r="D33" s="27" t="str">
        <f aca="false">IF(A33="","",ROUND(C33*'ورودی و مقایسه'!$B$5/12,0))</f>
        <v/>
      </c>
      <c r="E33" s="27" t="str">
        <f aca="false">IF(LEN(A33&amp;"")=0,"",IF(A33='ورودی و مقایسه'!$B$6,C33,MAX(0,MIN(C33,$C$4-D33))))</f>
        <v/>
      </c>
      <c r="F33" s="27" t="str">
        <f aca="false">IF(A33="","",D33+E33)</f>
        <v/>
      </c>
      <c r="G33" s="27" t="str">
        <f aca="false">IF(A33="","",C33-E33)</f>
        <v/>
      </c>
      <c r="J33" s="20" t="n">
        <f aca="false">IF(AND('ورودی و مقایسه'!$B$14="آماده",ISNUMBER('ورودی و مقایسه'!$N$7)),('ورودی و مقایسه'!$L$7-1)+25,"")</f>
        <v>33</v>
      </c>
      <c r="K33" s="20" t="n">
        <f aca="false">IF(ISNUMBER(J33),'ورودی و مقایسه'!$K$7+INT(J33/12),"")</f>
        <v>1407</v>
      </c>
      <c r="L33" s="20" t="n">
        <f aca="false">IF(ISNUMBER(J33),MOD(J33,12)+1,"")</f>
        <v>10</v>
      </c>
      <c r="M33" s="20" t="n">
        <f aca="false">IF(NOT(ISNUMBER(J33)),"",IFERROR(IF(OR(K33&lt;1390,K33&gt;1429),"",MIN('ورودی و مقایسه'!$M$7,IF(L33&lt;=6,31,IF(L33&lt;=11,30,VLOOKUP(K33+1,تقویم!$A$2:$B$42,2,0)-VLOOKUP(K33,تقویم!$A$2:$B$42,2,0)-336)))),""))</f>
        <v>5</v>
      </c>
    </row>
    <row r="34" customFormat="false" ht="15" hidden="false" customHeight="true" outlineLevel="0" collapsed="false">
      <c r="A34" s="24" t="str">
        <f aca="false">IF('ورودی و مقایسه'!$B$14="آماده",IF(27&lt;='ورودی و مقایسه'!$B$6,27,""),"")</f>
        <v/>
      </c>
      <c r="B34" s="24" t="str">
        <f aca="false">IF(LEN(A34&amp;"")=0,"",IF(ISNUMBER(M34),K34&amp;"/"&amp;TEXT(L34,"00")&amp;"/"&amp;TEXT(M34,"00"),"تاریخ خارج از بازه"))</f>
        <v/>
      </c>
      <c r="C34" s="25" t="str">
        <f aca="false">IF(A34="","",G33)</f>
        <v/>
      </c>
      <c r="D34" s="25" t="str">
        <f aca="false">IF(A34="","",ROUND(C34*'ورودی و مقایسه'!$B$5/12,0))</f>
        <v/>
      </c>
      <c r="E34" s="25" t="str">
        <f aca="false">IF(LEN(A34&amp;"")=0,"",IF(A34='ورودی و مقایسه'!$B$6,C34,MAX(0,MIN(C34,$C$4-D34))))</f>
        <v/>
      </c>
      <c r="F34" s="25" t="str">
        <f aca="false">IF(A34="","",D34+E34)</f>
        <v/>
      </c>
      <c r="G34" s="25" t="str">
        <f aca="false">IF(A34="","",C34-E34)</f>
        <v/>
      </c>
      <c r="J34" s="20" t="n">
        <f aca="false">IF(AND('ورودی و مقایسه'!$B$14="آماده",ISNUMBER('ورودی و مقایسه'!$N$7)),('ورودی و مقایسه'!$L$7-1)+26,"")</f>
        <v>34</v>
      </c>
      <c r="K34" s="20" t="n">
        <f aca="false">IF(ISNUMBER(J34),'ورودی و مقایسه'!$K$7+INT(J34/12),"")</f>
        <v>1407</v>
      </c>
      <c r="L34" s="20" t="n">
        <f aca="false">IF(ISNUMBER(J34),MOD(J34,12)+1,"")</f>
        <v>11</v>
      </c>
      <c r="M34" s="20" t="n">
        <f aca="false">IF(NOT(ISNUMBER(J34)),"",IFERROR(IF(OR(K34&lt;1390,K34&gt;1429),"",MIN('ورودی و مقایسه'!$M$7,IF(L34&lt;=6,31,IF(L34&lt;=11,30,VLOOKUP(K34+1,تقویم!$A$2:$B$42,2,0)-VLOOKUP(K34,تقویم!$A$2:$B$42,2,0)-336)))),""))</f>
        <v>5</v>
      </c>
    </row>
    <row r="35" customFormat="false" ht="15" hidden="false" customHeight="true" outlineLevel="0" collapsed="false">
      <c r="A35" s="26" t="str">
        <f aca="false">IF('ورودی و مقایسه'!$B$14="آماده",IF(28&lt;='ورودی و مقایسه'!$B$6,28,""),"")</f>
        <v/>
      </c>
      <c r="B35" s="26" t="str">
        <f aca="false">IF(LEN(A35&amp;"")=0,"",IF(ISNUMBER(M35),K35&amp;"/"&amp;TEXT(L35,"00")&amp;"/"&amp;TEXT(M35,"00"),"تاریخ خارج از بازه"))</f>
        <v/>
      </c>
      <c r="C35" s="27" t="str">
        <f aca="false">IF(A35="","",G34)</f>
        <v/>
      </c>
      <c r="D35" s="27" t="str">
        <f aca="false">IF(A35="","",ROUND(C35*'ورودی و مقایسه'!$B$5/12,0))</f>
        <v/>
      </c>
      <c r="E35" s="27" t="str">
        <f aca="false">IF(LEN(A35&amp;"")=0,"",IF(A35='ورودی و مقایسه'!$B$6,C35,MAX(0,MIN(C35,$C$4-D35))))</f>
        <v/>
      </c>
      <c r="F35" s="27" t="str">
        <f aca="false">IF(A35="","",D35+E35)</f>
        <v/>
      </c>
      <c r="G35" s="27" t="str">
        <f aca="false">IF(A35="","",C35-E35)</f>
        <v/>
      </c>
      <c r="J35" s="20" t="n">
        <f aca="false">IF(AND('ورودی و مقایسه'!$B$14="آماده",ISNUMBER('ورودی و مقایسه'!$N$7)),('ورودی و مقایسه'!$L$7-1)+27,"")</f>
        <v>35</v>
      </c>
      <c r="K35" s="20" t="n">
        <f aca="false">IF(ISNUMBER(J35),'ورودی و مقایسه'!$K$7+INT(J35/12),"")</f>
        <v>1407</v>
      </c>
      <c r="L35" s="20" t="n">
        <f aca="false">IF(ISNUMBER(J35),MOD(J35,12)+1,"")</f>
        <v>12</v>
      </c>
      <c r="M35" s="20" t="n">
        <f aca="false">IF(NOT(ISNUMBER(J35)),"",IFERROR(IF(OR(K35&lt;1390,K35&gt;1429),"",MIN('ورودی و مقایسه'!$M$7,IF(L35&lt;=6,31,IF(L35&lt;=11,30,VLOOKUP(K35+1,تقویم!$A$2:$B$42,2,0)-VLOOKUP(K35,تقویم!$A$2:$B$42,2,0)-336)))),""))</f>
        <v>5</v>
      </c>
    </row>
    <row r="36" customFormat="false" ht="15" hidden="false" customHeight="true" outlineLevel="0" collapsed="false">
      <c r="A36" s="24" t="str">
        <f aca="false">IF('ورودی و مقایسه'!$B$14="آماده",IF(29&lt;='ورودی و مقایسه'!$B$6,29,""),"")</f>
        <v/>
      </c>
      <c r="B36" s="24" t="str">
        <f aca="false">IF(LEN(A36&amp;"")=0,"",IF(ISNUMBER(M36),K36&amp;"/"&amp;TEXT(L36,"00")&amp;"/"&amp;TEXT(M36,"00"),"تاریخ خارج از بازه"))</f>
        <v/>
      </c>
      <c r="C36" s="25" t="str">
        <f aca="false">IF(A36="","",G35)</f>
        <v/>
      </c>
      <c r="D36" s="25" t="str">
        <f aca="false">IF(A36="","",ROUND(C36*'ورودی و مقایسه'!$B$5/12,0))</f>
        <v/>
      </c>
      <c r="E36" s="25" t="str">
        <f aca="false">IF(LEN(A36&amp;"")=0,"",IF(A36='ورودی و مقایسه'!$B$6,C36,MAX(0,MIN(C36,$C$4-D36))))</f>
        <v/>
      </c>
      <c r="F36" s="25" t="str">
        <f aca="false">IF(A36="","",D36+E36)</f>
        <v/>
      </c>
      <c r="G36" s="25" t="str">
        <f aca="false">IF(A36="","",C36-E36)</f>
        <v/>
      </c>
      <c r="J36" s="20" t="n">
        <f aca="false">IF(AND('ورودی و مقایسه'!$B$14="آماده",ISNUMBER('ورودی و مقایسه'!$N$7)),('ورودی و مقایسه'!$L$7-1)+28,"")</f>
        <v>36</v>
      </c>
      <c r="K36" s="20" t="n">
        <f aca="false">IF(ISNUMBER(J36),'ورودی و مقایسه'!$K$7+INT(J36/12),"")</f>
        <v>1408</v>
      </c>
      <c r="L36" s="20" t="n">
        <f aca="false">IF(ISNUMBER(J36),MOD(J36,12)+1,"")</f>
        <v>1</v>
      </c>
      <c r="M36" s="20" t="n">
        <f aca="false">IF(NOT(ISNUMBER(J36)),"",IFERROR(IF(OR(K36&lt;1390,K36&gt;1429),"",MIN('ورودی و مقایسه'!$M$7,IF(L36&lt;=6,31,IF(L36&lt;=11,30,VLOOKUP(K36+1,تقویم!$A$2:$B$42,2,0)-VLOOKUP(K36,تقویم!$A$2:$B$42,2,0)-336)))),""))</f>
        <v>5</v>
      </c>
    </row>
    <row r="37" customFormat="false" ht="15" hidden="false" customHeight="true" outlineLevel="0" collapsed="false">
      <c r="A37" s="26" t="str">
        <f aca="false">IF('ورودی و مقایسه'!$B$14="آماده",IF(30&lt;='ورودی و مقایسه'!$B$6,30,""),"")</f>
        <v/>
      </c>
      <c r="B37" s="26" t="str">
        <f aca="false">IF(LEN(A37&amp;"")=0,"",IF(ISNUMBER(M37),K37&amp;"/"&amp;TEXT(L37,"00")&amp;"/"&amp;TEXT(M37,"00"),"تاریخ خارج از بازه"))</f>
        <v/>
      </c>
      <c r="C37" s="27" t="str">
        <f aca="false">IF(A37="","",G36)</f>
        <v/>
      </c>
      <c r="D37" s="27" t="str">
        <f aca="false">IF(A37="","",ROUND(C37*'ورودی و مقایسه'!$B$5/12,0))</f>
        <v/>
      </c>
      <c r="E37" s="27" t="str">
        <f aca="false">IF(LEN(A37&amp;"")=0,"",IF(A37='ورودی و مقایسه'!$B$6,C37,MAX(0,MIN(C37,$C$4-D37))))</f>
        <v/>
      </c>
      <c r="F37" s="27" t="str">
        <f aca="false">IF(A37="","",D37+E37)</f>
        <v/>
      </c>
      <c r="G37" s="27" t="str">
        <f aca="false">IF(A37="","",C37-E37)</f>
        <v/>
      </c>
      <c r="J37" s="20" t="n">
        <f aca="false">IF(AND('ورودی و مقایسه'!$B$14="آماده",ISNUMBER('ورودی و مقایسه'!$N$7)),('ورودی و مقایسه'!$L$7-1)+29,"")</f>
        <v>37</v>
      </c>
      <c r="K37" s="20" t="n">
        <f aca="false">IF(ISNUMBER(J37),'ورودی و مقایسه'!$K$7+INT(J37/12),"")</f>
        <v>1408</v>
      </c>
      <c r="L37" s="20" t="n">
        <f aca="false">IF(ISNUMBER(J37),MOD(J37,12)+1,"")</f>
        <v>2</v>
      </c>
      <c r="M37" s="20" t="n">
        <f aca="false">IF(NOT(ISNUMBER(J37)),"",IFERROR(IF(OR(K37&lt;1390,K37&gt;1429),"",MIN('ورودی و مقایسه'!$M$7,IF(L37&lt;=6,31,IF(L37&lt;=11,30,VLOOKUP(K37+1,تقویم!$A$2:$B$42,2,0)-VLOOKUP(K37,تقویم!$A$2:$B$42,2,0)-336)))),""))</f>
        <v>5</v>
      </c>
    </row>
    <row r="38" customFormat="false" ht="15" hidden="false" customHeight="true" outlineLevel="0" collapsed="false">
      <c r="A38" s="24" t="str">
        <f aca="false">IF('ورودی و مقایسه'!$B$14="آماده",IF(31&lt;='ورودی و مقایسه'!$B$6,31,""),"")</f>
        <v/>
      </c>
      <c r="B38" s="24" t="str">
        <f aca="false">IF(LEN(A38&amp;"")=0,"",IF(ISNUMBER(M38),K38&amp;"/"&amp;TEXT(L38,"00")&amp;"/"&amp;TEXT(M38,"00"),"تاریخ خارج از بازه"))</f>
        <v/>
      </c>
      <c r="C38" s="25" t="str">
        <f aca="false">IF(A38="","",G37)</f>
        <v/>
      </c>
      <c r="D38" s="25" t="str">
        <f aca="false">IF(A38="","",ROUND(C38*'ورودی و مقایسه'!$B$5/12,0))</f>
        <v/>
      </c>
      <c r="E38" s="25" t="str">
        <f aca="false">IF(LEN(A38&amp;"")=0,"",IF(A38='ورودی و مقایسه'!$B$6,C38,MAX(0,MIN(C38,$C$4-D38))))</f>
        <v/>
      </c>
      <c r="F38" s="25" t="str">
        <f aca="false">IF(A38="","",D38+E38)</f>
        <v/>
      </c>
      <c r="G38" s="25" t="str">
        <f aca="false">IF(A38="","",C38-E38)</f>
        <v/>
      </c>
      <c r="J38" s="20" t="n">
        <f aca="false">IF(AND('ورودی و مقایسه'!$B$14="آماده",ISNUMBER('ورودی و مقایسه'!$N$7)),('ورودی و مقایسه'!$L$7-1)+30,"")</f>
        <v>38</v>
      </c>
      <c r="K38" s="20" t="n">
        <f aca="false">IF(ISNUMBER(J38),'ورودی و مقایسه'!$K$7+INT(J38/12),"")</f>
        <v>1408</v>
      </c>
      <c r="L38" s="20" t="n">
        <f aca="false">IF(ISNUMBER(J38),MOD(J38,12)+1,"")</f>
        <v>3</v>
      </c>
      <c r="M38" s="20" t="n">
        <f aca="false">IF(NOT(ISNUMBER(J38)),"",IFERROR(IF(OR(K38&lt;1390,K38&gt;1429),"",MIN('ورودی و مقایسه'!$M$7,IF(L38&lt;=6,31,IF(L38&lt;=11,30,VLOOKUP(K38+1,تقویم!$A$2:$B$42,2,0)-VLOOKUP(K38,تقویم!$A$2:$B$42,2,0)-336)))),""))</f>
        <v>5</v>
      </c>
    </row>
    <row r="39" customFormat="false" ht="15" hidden="false" customHeight="true" outlineLevel="0" collapsed="false">
      <c r="A39" s="26" t="str">
        <f aca="false">IF('ورودی و مقایسه'!$B$14="آماده",IF(32&lt;='ورودی و مقایسه'!$B$6,32,""),"")</f>
        <v/>
      </c>
      <c r="B39" s="26" t="str">
        <f aca="false">IF(LEN(A39&amp;"")=0,"",IF(ISNUMBER(M39),K39&amp;"/"&amp;TEXT(L39,"00")&amp;"/"&amp;TEXT(M39,"00"),"تاریخ خارج از بازه"))</f>
        <v/>
      </c>
      <c r="C39" s="27" t="str">
        <f aca="false">IF(A39="","",G38)</f>
        <v/>
      </c>
      <c r="D39" s="27" t="str">
        <f aca="false">IF(A39="","",ROUND(C39*'ورودی و مقایسه'!$B$5/12,0))</f>
        <v/>
      </c>
      <c r="E39" s="27" t="str">
        <f aca="false">IF(LEN(A39&amp;"")=0,"",IF(A39='ورودی و مقایسه'!$B$6,C39,MAX(0,MIN(C39,$C$4-D39))))</f>
        <v/>
      </c>
      <c r="F39" s="27" t="str">
        <f aca="false">IF(A39="","",D39+E39)</f>
        <v/>
      </c>
      <c r="G39" s="27" t="str">
        <f aca="false">IF(A39="","",C39-E39)</f>
        <v/>
      </c>
      <c r="J39" s="20" t="n">
        <f aca="false">IF(AND('ورودی و مقایسه'!$B$14="آماده",ISNUMBER('ورودی و مقایسه'!$N$7)),('ورودی و مقایسه'!$L$7-1)+31,"")</f>
        <v>39</v>
      </c>
      <c r="K39" s="20" t="n">
        <f aca="false">IF(ISNUMBER(J39),'ورودی و مقایسه'!$K$7+INT(J39/12),"")</f>
        <v>1408</v>
      </c>
      <c r="L39" s="20" t="n">
        <f aca="false">IF(ISNUMBER(J39),MOD(J39,12)+1,"")</f>
        <v>4</v>
      </c>
      <c r="M39" s="20" t="n">
        <f aca="false">IF(NOT(ISNUMBER(J39)),"",IFERROR(IF(OR(K39&lt;1390,K39&gt;1429),"",MIN('ورودی و مقایسه'!$M$7,IF(L39&lt;=6,31,IF(L39&lt;=11,30,VLOOKUP(K39+1,تقویم!$A$2:$B$42,2,0)-VLOOKUP(K39,تقویم!$A$2:$B$42,2,0)-336)))),""))</f>
        <v>5</v>
      </c>
    </row>
    <row r="40" customFormat="false" ht="15" hidden="false" customHeight="true" outlineLevel="0" collapsed="false">
      <c r="A40" s="24" t="str">
        <f aca="false">IF('ورودی و مقایسه'!$B$14="آماده",IF(33&lt;='ورودی و مقایسه'!$B$6,33,""),"")</f>
        <v/>
      </c>
      <c r="B40" s="24" t="str">
        <f aca="false">IF(LEN(A40&amp;"")=0,"",IF(ISNUMBER(M40),K40&amp;"/"&amp;TEXT(L40,"00")&amp;"/"&amp;TEXT(M40,"00"),"تاریخ خارج از بازه"))</f>
        <v/>
      </c>
      <c r="C40" s="25" t="str">
        <f aca="false">IF(A40="","",G39)</f>
        <v/>
      </c>
      <c r="D40" s="25" t="str">
        <f aca="false">IF(A40="","",ROUND(C40*'ورودی و مقایسه'!$B$5/12,0))</f>
        <v/>
      </c>
      <c r="E40" s="25" t="str">
        <f aca="false">IF(LEN(A40&amp;"")=0,"",IF(A40='ورودی و مقایسه'!$B$6,C40,MAX(0,MIN(C40,$C$4-D40))))</f>
        <v/>
      </c>
      <c r="F40" s="25" t="str">
        <f aca="false">IF(A40="","",D40+E40)</f>
        <v/>
      </c>
      <c r="G40" s="25" t="str">
        <f aca="false">IF(A40="","",C40-E40)</f>
        <v/>
      </c>
      <c r="J40" s="20" t="n">
        <f aca="false">IF(AND('ورودی و مقایسه'!$B$14="آماده",ISNUMBER('ورودی و مقایسه'!$N$7)),('ورودی و مقایسه'!$L$7-1)+32,"")</f>
        <v>40</v>
      </c>
      <c r="K40" s="20" t="n">
        <f aca="false">IF(ISNUMBER(J40),'ورودی و مقایسه'!$K$7+INT(J40/12),"")</f>
        <v>1408</v>
      </c>
      <c r="L40" s="20" t="n">
        <f aca="false">IF(ISNUMBER(J40),MOD(J40,12)+1,"")</f>
        <v>5</v>
      </c>
      <c r="M40" s="20" t="n">
        <f aca="false">IF(NOT(ISNUMBER(J40)),"",IFERROR(IF(OR(K40&lt;1390,K40&gt;1429),"",MIN('ورودی و مقایسه'!$M$7,IF(L40&lt;=6,31,IF(L40&lt;=11,30,VLOOKUP(K40+1,تقویم!$A$2:$B$42,2,0)-VLOOKUP(K40,تقویم!$A$2:$B$42,2,0)-336)))),""))</f>
        <v>5</v>
      </c>
    </row>
    <row r="41" customFormat="false" ht="15" hidden="false" customHeight="true" outlineLevel="0" collapsed="false">
      <c r="A41" s="26" t="str">
        <f aca="false">IF('ورودی و مقایسه'!$B$14="آماده",IF(34&lt;='ورودی و مقایسه'!$B$6,34,""),"")</f>
        <v/>
      </c>
      <c r="B41" s="26" t="str">
        <f aca="false">IF(LEN(A41&amp;"")=0,"",IF(ISNUMBER(M41),K41&amp;"/"&amp;TEXT(L41,"00")&amp;"/"&amp;TEXT(M41,"00"),"تاریخ خارج از بازه"))</f>
        <v/>
      </c>
      <c r="C41" s="27" t="str">
        <f aca="false">IF(A41="","",G40)</f>
        <v/>
      </c>
      <c r="D41" s="27" t="str">
        <f aca="false">IF(A41="","",ROUND(C41*'ورودی و مقایسه'!$B$5/12,0))</f>
        <v/>
      </c>
      <c r="E41" s="27" t="str">
        <f aca="false">IF(LEN(A41&amp;"")=0,"",IF(A41='ورودی و مقایسه'!$B$6,C41,MAX(0,MIN(C41,$C$4-D41))))</f>
        <v/>
      </c>
      <c r="F41" s="27" t="str">
        <f aca="false">IF(A41="","",D41+E41)</f>
        <v/>
      </c>
      <c r="G41" s="27" t="str">
        <f aca="false">IF(A41="","",C41-E41)</f>
        <v/>
      </c>
      <c r="J41" s="20" t="n">
        <f aca="false">IF(AND('ورودی و مقایسه'!$B$14="آماده",ISNUMBER('ورودی و مقایسه'!$N$7)),('ورودی و مقایسه'!$L$7-1)+33,"")</f>
        <v>41</v>
      </c>
      <c r="K41" s="20" t="n">
        <f aca="false">IF(ISNUMBER(J41),'ورودی و مقایسه'!$K$7+INT(J41/12),"")</f>
        <v>1408</v>
      </c>
      <c r="L41" s="20" t="n">
        <f aca="false">IF(ISNUMBER(J41),MOD(J41,12)+1,"")</f>
        <v>6</v>
      </c>
      <c r="M41" s="20" t="n">
        <f aca="false">IF(NOT(ISNUMBER(J41)),"",IFERROR(IF(OR(K41&lt;1390,K41&gt;1429),"",MIN('ورودی و مقایسه'!$M$7,IF(L41&lt;=6,31,IF(L41&lt;=11,30,VLOOKUP(K41+1,تقویم!$A$2:$B$42,2,0)-VLOOKUP(K41,تقویم!$A$2:$B$42,2,0)-336)))),""))</f>
        <v>5</v>
      </c>
    </row>
    <row r="42" customFormat="false" ht="15" hidden="false" customHeight="true" outlineLevel="0" collapsed="false">
      <c r="A42" s="24" t="str">
        <f aca="false">IF('ورودی و مقایسه'!$B$14="آماده",IF(35&lt;='ورودی و مقایسه'!$B$6,35,""),"")</f>
        <v/>
      </c>
      <c r="B42" s="24" t="str">
        <f aca="false">IF(LEN(A42&amp;"")=0,"",IF(ISNUMBER(M42),K42&amp;"/"&amp;TEXT(L42,"00")&amp;"/"&amp;TEXT(M42,"00"),"تاریخ خارج از بازه"))</f>
        <v/>
      </c>
      <c r="C42" s="25" t="str">
        <f aca="false">IF(A42="","",G41)</f>
        <v/>
      </c>
      <c r="D42" s="25" t="str">
        <f aca="false">IF(A42="","",ROUND(C42*'ورودی و مقایسه'!$B$5/12,0))</f>
        <v/>
      </c>
      <c r="E42" s="25" t="str">
        <f aca="false">IF(LEN(A42&amp;"")=0,"",IF(A42='ورودی و مقایسه'!$B$6,C42,MAX(0,MIN(C42,$C$4-D42))))</f>
        <v/>
      </c>
      <c r="F42" s="25" t="str">
        <f aca="false">IF(A42="","",D42+E42)</f>
        <v/>
      </c>
      <c r="G42" s="25" t="str">
        <f aca="false">IF(A42="","",C42-E42)</f>
        <v/>
      </c>
      <c r="J42" s="20" t="n">
        <f aca="false">IF(AND('ورودی و مقایسه'!$B$14="آماده",ISNUMBER('ورودی و مقایسه'!$N$7)),('ورودی و مقایسه'!$L$7-1)+34,"")</f>
        <v>42</v>
      </c>
      <c r="K42" s="20" t="n">
        <f aca="false">IF(ISNUMBER(J42),'ورودی و مقایسه'!$K$7+INT(J42/12),"")</f>
        <v>1408</v>
      </c>
      <c r="L42" s="20" t="n">
        <f aca="false">IF(ISNUMBER(J42),MOD(J42,12)+1,"")</f>
        <v>7</v>
      </c>
      <c r="M42" s="20" t="n">
        <f aca="false">IF(NOT(ISNUMBER(J42)),"",IFERROR(IF(OR(K42&lt;1390,K42&gt;1429),"",MIN('ورودی و مقایسه'!$M$7,IF(L42&lt;=6,31,IF(L42&lt;=11,30,VLOOKUP(K42+1,تقویم!$A$2:$B$42,2,0)-VLOOKUP(K42,تقویم!$A$2:$B$42,2,0)-336)))),""))</f>
        <v>5</v>
      </c>
    </row>
    <row r="43" customFormat="false" ht="15" hidden="false" customHeight="true" outlineLevel="0" collapsed="false">
      <c r="A43" s="26" t="str">
        <f aca="false">IF('ورودی و مقایسه'!$B$14="آماده",IF(36&lt;='ورودی و مقایسه'!$B$6,36,""),"")</f>
        <v/>
      </c>
      <c r="B43" s="26" t="str">
        <f aca="false">IF(LEN(A43&amp;"")=0,"",IF(ISNUMBER(M43),K43&amp;"/"&amp;TEXT(L43,"00")&amp;"/"&amp;TEXT(M43,"00"),"تاریخ خارج از بازه"))</f>
        <v/>
      </c>
      <c r="C43" s="27" t="str">
        <f aca="false">IF(A43="","",G42)</f>
        <v/>
      </c>
      <c r="D43" s="27" t="str">
        <f aca="false">IF(A43="","",ROUND(C43*'ورودی و مقایسه'!$B$5/12,0))</f>
        <v/>
      </c>
      <c r="E43" s="27" t="str">
        <f aca="false">IF(LEN(A43&amp;"")=0,"",IF(A43='ورودی و مقایسه'!$B$6,C43,MAX(0,MIN(C43,$C$4-D43))))</f>
        <v/>
      </c>
      <c r="F43" s="27" t="str">
        <f aca="false">IF(A43="","",D43+E43)</f>
        <v/>
      </c>
      <c r="G43" s="27" t="str">
        <f aca="false">IF(A43="","",C43-E43)</f>
        <v/>
      </c>
      <c r="J43" s="20" t="n">
        <f aca="false">IF(AND('ورودی و مقایسه'!$B$14="آماده",ISNUMBER('ورودی و مقایسه'!$N$7)),('ورودی و مقایسه'!$L$7-1)+35,"")</f>
        <v>43</v>
      </c>
      <c r="K43" s="20" t="n">
        <f aca="false">IF(ISNUMBER(J43),'ورودی و مقایسه'!$K$7+INT(J43/12),"")</f>
        <v>1408</v>
      </c>
      <c r="L43" s="20" t="n">
        <f aca="false">IF(ISNUMBER(J43),MOD(J43,12)+1,"")</f>
        <v>8</v>
      </c>
      <c r="M43" s="20" t="n">
        <f aca="false">IF(NOT(ISNUMBER(J43)),"",IFERROR(IF(OR(K43&lt;1390,K43&gt;1429),"",MIN('ورودی و مقایسه'!$M$7,IF(L43&lt;=6,31,IF(L43&lt;=11,30,VLOOKUP(K43+1,تقویم!$A$2:$B$42,2,0)-VLOOKUP(K43,تقویم!$A$2:$B$42,2,0)-336)))),""))</f>
        <v>5</v>
      </c>
    </row>
    <row r="44" customFormat="false" ht="15" hidden="false" customHeight="true" outlineLevel="0" collapsed="false">
      <c r="A44" s="24" t="str">
        <f aca="false">IF('ورودی و مقایسه'!$B$14="آماده",IF(37&lt;='ورودی و مقایسه'!$B$6,37,""),"")</f>
        <v/>
      </c>
      <c r="B44" s="24" t="str">
        <f aca="false">IF(LEN(A44&amp;"")=0,"",IF(ISNUMBER(M44),K44&amp;"/"&amp;TEXT(L44,"00")&amp;"/"&amp;TEXT(M44,"00"),"تاریخ خارج از بازه"))</f>
        <v/>
      </c>
      <c r="C44" s="25" t="str">
        <f aca="false">IF(A44="","",G43)</f>
        <v/>
      </c>
      <c r="D44" s="25" t="str">
        <f aca="false">IF(A44="","",ROUND(C44*'ورودی و مقایسه'!$B$5/12,0))</f>
        <v/>
      </c>
      <c r="E44" s="25" t="str">
        <f aca="false">IF(LEN(A44&amp;"")=0,"",IF(A44='ورودی و مقایسه'!$B$6,C44,MAX(0,MIN(C44,$C$4-D44))))</f>
        <v/>
      </c>
      <c r="F44" s="25" t="str">
        <f aca="false">IF(A44="","",D44+E44)</f>
        <v/>
      </c>
      <c r="G44" s="25" t="str">
        <f aca="false">IF(A44="","",C44-E44)</f>
        <v/>
      </c>
      <c r="J44" s="20" t="n">
        <f aca="false">IF(AND('ورودی و مقایسه'!$B$14="آماده",ISNUMBER('ورودی و مقایسه'!$N$7)),('ورودی و مقایسه'!$L$7-1)+36,"")</f>
        <v>44</v>
      </c>
      <c r="K44" s="20" t="n">
        <f aca="false">IF(ISNUMBER(J44),'ورودی و مقایسه'!$K$7+INT(J44/12),"")</f>
        <v>1408</v>
      </c>
      <c r="L44" s="20" t="n">
        <f aca="false">IF(ISNUMBER(J44),MOD(J44,12)+1,"")</f>
        <v>9</v>
      </c>
      <c r="M44" s="20" t="n">
        <f aca="false">IF(NOT(ISNUMBER(J44)),"",IFERROR(IF(OR(K44&lt;1390,K44&gt;1429),"",MIN('ورودی و مقایسه'!$M$7,IF(L44&lt;=6,31,IF(L44&lt;=11,30,VLOOKUP(K44+1,تقویم!$A$2:$B$42,2,0)-VLOOKUP(K44,تقویم!$A$2:$B$42,2,0)-336)))),""))</f>
        <v>5</v>
      </c>
    </row>
    <row r="45" customFormat="false" ht="15" hidden="false" customHeight="true" outlineLevel="0" collapsed="false">
      <c r="A45" s="26" t="str">
        <f aca="false">IF('ورودی و مقایسه'!$B$14="آماده",IF(38&lt;='ورودی و مقایسه'!$B$6,38,""),"")</f>
        <v/>
      </c>
      <c r="B45" s="26" t="str">
        <f aca="false">IF(LEN(A45&amp;"")=0,"",IF(ISNUMBER(M45),K45&amp;"/"&amp;TEXT(L45,"00")&amp;"/"&amp;TEXT(M45,"00"),"تاریخ خارج از بازه"))</f>
        <v/>
      </c>
      <c r="C45" s="27" t="str">
        <f aca="false">IF(A45="","",G44)</f>
        <v/>
      </c>
      <c r="D45" s="27" t="str">
        <f aca="false">IF(A45="","",ROUND(C45*'ورودی و مقایسه'!$B$5/12,0))</f>
        <v/>
      </c>
      <c r="E45" s="27" t="str">
        <f aca="false">IF(LEN(A45&amp;"")=0,"",IF(A45='ورودی و مقایسه'!$B$6,C45,MAX(0,MIN(C45,$C$4-D45))))</f>
        <v/>
      </c>
      <c r="F45" s="27" t="str">
        <f aca="false">IF(A45="","",D45+E45)</f>
        <v/>
      </c>
      <c r="G45" s="27" t="str">
        <f aca="false">IF(A45="","",C45-E45)</f>
        <v/>
      </c>
      <c r="J45" s="20" t="n">
        <f aca="false">IF(AND('ورودی و مقایسه'!$B$14="آماده",ISNUMBER('ورودی و مقایسه'!$N$7)),('ورودی و مقایسه'!$L$7-1)+37,"")</f>
        <v>45</v>
      </c>
      <c r="K45" s="20" t="n">
        <f aca="false">IF(ISNUMBER(J45),'ورودی و مقایسه'!$K$7+INT(J45/12),"")</f>
        <v>1408</v>
      </c>
      <c r="L45" s="20" t="n">
        <f aca="false">IF(ISNUMBER(J45),MOD(J45,12)+1,"")</f>
        <v>10</v>
      </c>
      <c r="M45" s="20" t="n">
        <f aca="false">IF(NOT(ISNUMBER(J45)),"",IFERROR(IF(OR(K45&lt;1390,K45&gt;1429),"",MIN('ورودی و مقایسه'!$M$7,IF(L45&lt;=6,31,IF(L45&lt;=11,30,VLOOKUP(K45+1,تقویم!$A$2:$B$42,2,0)-VLOOKUP(K45,تقویم!$A$2:$B$42,2,0)-336)))),""))</f>
        <v>5</v>
      </c>
    </row>
    <row r="46" customFormat="false" ht="15" hidden="false" customHeight="true" outlineLevel="0" collapsed="false">
      <c r="A46" s="24" t="str">
        <f aca="false">IF('ورودی و مقایسه'!$B$14="آماده",IF(39&lt;='ورودی و مقایسه'!$B$6,39,""),"")</f>
        <v/>
      </c>
      <c r="B46" s="24" t="str">
        <f aca="false">IF(LEN(A46&amp;"")=0,"",IF(ISNUMBER(M46),K46&amp;"/"&amp;TEXT(L46,"00")&amp;"/"&amp;TEXT(M46,"00"),"تاریخ خارج از بازه"))</f>
        <v/>
      </c>
      <c r="C46" s="25" t="str">
        <f aca="false">IF(A46="","",G45)</f>
        <v/>
      </c>
      <c r="D46" s="25" t="str">
        <f aca="false">IF(A46="","",ROUND(C46*'ورودی و مقایسه'!$B$5/12,0))</f>
        <v/>
      </c>
      <c r="E46" s="25" t="str">
        <f aca="false">IF(LEN(A46&amp;"")=0,"",IF(A46='ورودی و مقایسه'!$B$6,C46,MAX(0,MIN(C46,$C$4-D46))))</f>
        <v/>
      </c>
      <c r="F46" s="25" t="str">
        <f aca="false">IF(A46="","",D46+E46)</f>
        <v/>
      </c>
      <c r="G46" s="25" t="str">
        <f aca="false">IF(A46="","",C46-E46)</f>
        <v/>
      </c>
      <c r="J46" s="20" t="n">
        <f aca="false">IF(AND('ورودی و مقایسه'!$B$14="آماده",ISNUMBER('ورودی و مقایسه'!$N$7)),('ورودی و مقایسه'!$L$7-1)+38,"")</f>
        <v>46</v>
      </c>
      <c r="K46" s="20" t="n">
        <f aca="false">IF(ISNUMBER(J46),'ورودی و مقایسه'!$K$7+INT(J46/12),"")</f>
        <v>1408</v>
      </c>
      <c r="L46" s="20" t="n">
        <f aca="false">IF(ISNUMBER(J46),MOD(J46,12)+1,"")</f>
        <v>11</v>
      </c>
      <c r="M46" s="20" t="n">
        <f aca="false">IF(NOT(ISNUMBER(J46)),"",IFERROR(IF(OR(K46&lt;1390,K46&gt;1429),"",MIN('ورودی و مقایسه'!$M$7,IF(L46&lt;=6,31,IF(L46&lt;=11,30,VLOOKUP(K46+1,تقویم!$A$2:$B$42,2,0)-VLOOKUP(K46,تقویم!$A$2:$B$42,2,0)-336)))),""))</f>
        <v>5</v>
      </c>
    </row>
    <row r="47" customFormat="false" ht="15" hidden="false" customHeight="true" outlineLevel="0" collapsed="false">
      <c r="A47" s="26" t="str">
        <f aca="false">IF('ورودی و مقایسه'!$B$14="آماده",IF(40&lt;='ورودی و مقایسه'!$B$6,40,""),"")</f>
        <v/>
      </c>
      <c r="B47" s="26" t="str">
        <f aca="false">IF(LEN(A47&amp;"")=0,"",IF(ISNUMBER(M47),K47&amp;"/"&amp;TEXT(L47,"00")&amp;"/"&amp;TEXT(M47,"00"),"تاریخ خارج از بازه"))</f>
        <v/>
      </c>
      <c r="C47" s="27" t="str">
        <f aca="false">IF(A47="","",G46)</f>
        <v/>
      </c>
      <c r="D47" s="27" t="str">
        <f aca="false">IF(A47="","",ROUND(C47*'ورودی و مقایسه'!$B$5/12,0))</f>
        <v/>
      </c>
      <c r="E47" s="27" t="str">
        <f aca="false">IF(LEN(A47&amp;"")=0,"",IF(A47='ورودی و مقایسه'!$B$6,C47,MAX(0,MIN(C47,$C$4-D47))))</f>
        <v/>
      </c>
      <c r="F47" s="27" t="str">
        <f aca="false">IF(A47="","",D47+E47)</f>
        <v/>
      </c>
      <c r="G47" s="27" t="str">
        <f aca="false">IF(A47="","",C47-E47)</f>
        <v/>
      </c>
      <c r="J47" s="20" t="n">
        <f aca="false">IF(AND('ورودی و مقایسه'!$B$14="آماده",ISNUMBER('ورودی و مقایسه'!$N$7)),('ورودی و مقایسه'!$L$7-1)+39,"")</f>
        <v>47</v>
      </c>
      <c r="K47" s="20" t="n">
        <f aca="false">IF(ISNUMBER(J47),'ورودی و مقایسه'!$K$7+INT(J47/12),"")</f>
        <v>1408</v>
      </c>
      <c r="L47" s="20" t="n">
        <f aca="false">IF(ISNUMBER(J47),MOD(J47,12)+1,"")</f>
        <v>12</v>
      </c>
      <c r="M47" s="20" t="n">
        <f aca="false">IF(NOT(ISNUMBER(J47)),"",IFERROR(IF(OR(K47&lt;1390,K47&gt;1429),"",MIN('ورودی و مقایسه'!$M$7,IF(L47&lt;=6,31,IF(L47&lt;=11,30,VLOOKUP(K47+1,تقویم!$A$2:$B$42,2,0)-VLOOKUP(K47,تقویم!$A$2:$B$42,2,0)-336)))),""))</f>
        <v>5</v>
      </c>
    </row>
    <row r="48" customFormat="false" ht="15" hidden="false" customHeight="true" outlineLevel="0" collapsed="false">
      <c r="A48" s="24" t="str">
        <f aca="false">IF('ورودی و مقایسه'!$B$14="آماده",IF(41&lt;='ورودی و مقایسه'!$B$6,41,""),"")</f>
        <v/>
      </c>
      <c r="B48" s="24" t="str">
        <f aca="false">IF(LEN(A48&amp;"")=0,"",IF(ISNUMBER(M48),K48&amp;"/"&amp;TEXT(L48,"00")&amp;"/"&amp;TEXT(M48,"00"),"تاریخ خارج از بازه"))</f>
        <v/>
      </c>
      <c r="C48" s="25" t="str">
        <f aca="false">IF(A48="","",G47)</f>
        <v/>
      </c>
      <c r="D48" s="25" t="str">
        <f aca="false">IF(A48="","",ROUND(C48*'ورودی و مقایسه'!$B$5/12,0))</f>
        <v/>
      </c>
      <c r="E48" s="25" t="str">
        <f aca="false">IF(LEN(A48&amp;"")=0,"",IF(A48='ورودی و مقایسه'!$B$6,C48,MAX(0,MIN(C48,$C$4-D48))))</f>
        <v/>
      </c>
      <c r="F48" s="25" t="str">
        <f aca="false">IF(A48="","",D48+E48)</f>
        <v/>
      </c>
      <c r="G48" s="25" t="str">
        <f aca="false">IF(A48="","",C48-E48)</f>
        <v/>
      </c>
      <c r="J48" s="20" t="n">
        <f aca="false">IF(AND('ورودی و مقایسه'!$B$14="آماده",ISNUMBER('ورودی و مقایسه'!$N$7)),('ورودی و مقایسه'!$L$7-1)+40,"")</f>
        <v>48</v>
      </c>
      <c r="K48" s="20" t="n">
        <f aca="false">IF(ISNUMBER(J48),'ورودی و مقایسه'!$K$7+INT(J48/12),"")</f>
        <v>1409</v>
      </c>
      <c r="L48" s="20" t="n">
        <f aca="false">IF(ISNUMBER(J48),MOD(J48,12)+1,"")</f>
        <v>1</v>
      </c>
      <c r="M48" s="20" t="n">
        <f aca="false">IF(NOT(ISNUMBER(J48)),"",IFERROR(IF(OR(K48&lt;1390,K48&gt;1429),"",MIN('ورودی و مقایسه'!$M$7,IF(L48&lt;=6,31,IF(L48&lt;=11,30,VLOOKUP(K48+1,تقویم!$A$2:$B$42,2,0)-VLOOKUP(K48,تقویم!$A$2:$B$42,2,0)-336)))),""))</f>
        <v>5</v>
      </c>
    </row>
    <row r="49" customFormat="false" ht="15" hidden="false" customHeight="true" outlineLevel="0" collapsed="false">
      <c r="A49" s="26" t="str">
        <f aca="false">IF('ورودی و مقایسه'!$B$14="آماده",IF(42&lt;='ورودی و مقایسه'!$B$6,42,""),"")</f>
        <v/>
      </c>
      <c r="B49" s="26" t="str">
        <f aca="false">IF(LEN(A49&amp;"")=0,"",IF(ISNUMBER(M49),K49&amp;"/"&amp;TEXT(L49,"00")&amp;"/"&amp;TEXT(M49,"00"),"تاریخ خارج از بازه"))</f>
        <v/>
      </c>
      <c r="C49" s="27" t="str">
        <f aca="false">IF(A49="","",G48)</f>
        <v/>
      </c>
      <c r="D49" s="27" t="str">
        <f aca="false">IF(A49="","",ROUND(C49*'ورودی و مقایسه'!$B$5/12,0))</f>
        <v/>
      </c>
      <c r="E49" s="27" t="str">
        <f aca="false">IF(LEN(A49&amp;"")=0,"",IF(A49='ورودی و مقایسه'!$B$6,C49,MAX(0,MIN(C49,$C$4-D49))))</f>
        <v/>
      </c>
      <c r="F49" s="27" t="str">
        <f aca="false">IF(A49="","",D49+E49)</f>
        <v/>
      </c>
      <c r="G49" s="27" t="str">
        <f aca="false">IF(A49="","",C49-E49)</f>
        <v/>
      </c>
      <c r="J49" s="20" t="n">
        <f aca="false">IF(AND('ورودی و مقایسه'!$B$14="آماده",ISNUMBER('ورودی و مقایسه'!$N$7)),('ورودی و مقایسه'!$L$7-1)+41,"")</f>
        <v>49</v>
      </c>
      <c r="K49" s="20" t="n">
        <f aca="false">IF(ISNUMBER(J49),'ورودی و مقایسه'!$K$7+INT(J49/12),"")</f>
        <v>1409</v>
      </c>
      <c r="L49" s="20" t="n">
        <f aca="false">IF(ISNUMBER(J49),MOD(J49,12)+1,"")</f>
        <v>2</v>
      </c>
      <c r="M49" s="20" t="n">
        <f aca="false">IF(NOT(ISNUMBER(J49)),"",IFERROR(IF(OR(K49&lt;1390,K49&gt;1429),"",MIN('ورودی و مقایسه'!$M$7,IF(L49&lt;=6,31,IF(L49&lt;=11,30,VLOOKUP(K49+1,تقویم!$A$2:$B$42,2,0)-VLOOKUP(K49,تقویم!$A$2:$B$42,2,0)-336)))),""))</f>
        <v>5</v>
      </c>
    </row>
    <row r="50" customFormat="false" ht="15" hidden="false" customHeight="true" outlineLevel="0" collapsed="false">
      <c r="A50" s="24" t="str">
        <f aca="false">IF('ورودی و مقایسه'!$B$14="آماده",IF(43&lt;='ورودی و مقایسه'!$B$6,43,""),"")</f>
        <v/>
      </c>
      <c r="B50" s="24" t="str">
        <f aca="false">IF(LEN(A50&amp;"")=0,"",IF(ISNUMBER(M50),K50&amp;"/"&amp;TEXT(L50,"00")&amp;"/"&amp;TEXT(M50,"00"),"تاریخ خارج از بازه"))</f>
        <v/>
      </c>
      <c r="C50" s="25" t="str">
        <f aca="false">IF(A50="","",G49)</f>
        <v/>
      </c>
      <c r="D50" s="25" t="str">
        <f aca="false">IF(A50="","",ROUND(C50*'ورودی و مقایسه'!$B$5/12,0))</f>
        <v/>
      </c>
      <c r="E50" s="25" t="str">
        <f aca="false">IF(LEN(A50&amp;"")=0,"",IF(A50='ورودی و مقایسه'!$B$6,C50,MAX(0,MIN(C50,$C$4-D50))))</f>
        <v/>
      </c>
      <c r="F50" s="25" t="str">
        <f aca="false">IF(A50="","",D50+E50)</f>
        <v/>
      </c>
      <c r="G50" s="25" t="str">
        <f aca="false">IF(A50="","",C50-E50)</f>
        <v/>
      </c>
      <c r="J50" s="20" t="n">
        <f aca="false">IF(AND('ورودی و مقایسه'!$B$14="آماده",ISNUMBER('ورودی و مقایسه'!$N$7)),('ورودی و مقایسه'!$L$7-1)+42,"")</f>
        <v>50</v>
      </c>
      <c r="K50" s="20" t="n">
        <f aca="false">IF(ISNUMBER(J50),'ورودی و مقایسه'!$K$7+INT(J50/12),"")</f>
        <v>1409</v>
      </c>
      <c r="L50" s="20" t="n">
        <f aca="false">IF(ISNUMBER(J50),MOD(J50,12)+1,"")</f>
        <v>3</v>
      </c>
      <c r="M50" s="20" t="n">
        <f aca="false">IF(NOT(ISNUMBER(J50)),"",IFERROR(IF(OR(K50&lt;1390,K50&gt;1429),"",MIN('ورودی و مقایسه'!$M$7,IF(L50&lt;=6,31,IF(L50&lt;=11,30,VLOOKUP(K50+1,تقویم!$A$2:$B$42,2,0)-VLOOKUP(K50,تقویم!$A$2:$B$42,2,0)-336)))),""))</f>
        <v>5</v>
      </c>
    </row>
    <row r="51" customFormat="false" ht="15" hidden="false" customHeight="true" outlineLevel="0" collapsed="false">
      <c r="A51" s="26" t="str">
        <f aca="false">IF('ورودی و مقایسه'!$B$14="آماده",IF(44&lt;='ورودی و مقایسه'!$B$6,44,""),"")</f>
        <v/>
      </c>
      <c r="B51" s="26" t="str">
        <f aca="false">IF(LEN(A51&amp;"")=0,"",IF(ISNUMBER(M51),K51&amp;"/"&amp;TEXT(L51,"00")&amp;"/"&amp;TEXT(M51,"00"),"تاریخ خارج از بازه"))</f>
        <v/>
      </c>
      <c r="C51" s="27" t="str">
        <f aca="false">IF(A51="","",G50)</f>
        <v/>
      </c>
      <c r="D51" s="27" t="str">
        <f aca="false">IF(A51="","",ROUND(C51*'ورودی و مقایسه'!$B$5/12,0))</f>
        <v/>
      </c>
      <c r="E51" s="27" t="str">
        <f aca="false">IF(LEN(A51&amp;"")=0,"",IF(A51='ورودی و مقایسه'!$B$6,C51,MAX(0,MIN(C51,$C$4-D51))))</f>
        <v/>
      </c>
      <c r="F51" s="27" t="str">
        <f aca="false">IF(A51="","",D51+E51)</f>
        <v/>
      </c>
      <c r="G51" s="27" t="str">
        <f aca="false">IF(A51="","",C51-E51)</f>
        <v/>
      </c>
      <c r="J51" s="20" t="n">
        <f aca="false">IF(AND('ورودی و مقایسه'!$B$14="آماده",ISNUMBER('ورودی و مقایسه'!$N$7)),('ورودی و مقایسه'!$L$7-1)+43,"")</f>
        <v>51</v>
      </c>
      <c r="K51" s="20" t="n">
        <f aca="false">IF(ISNUMBER(J51),'ورودی و مقایسه'!$K$7+INT(J51/12),"")</f>
        <v>1409</v>
      </c>
      <c r="L51" s="20" t="n">
        <f aca="false">IF(ISNUMBER(J51),MOD(J51,12)+1,"")</f>
        <v>4</v>
      </c>
      <c r="M51" s="20" t="n">
        <f aca="false">IF(NOT(ISNUMBER(J51)),"",IFERROR(IF(OR(K51&lt;1390,K51&gt;1429),"",MIN('ورودی و مقایسه'!$M$7,IF(L51&lt;=6,31,IF(L51&lt;=11,30,VLOOKUP(K51+1,تقویم!$A$2:$B$42,2,0)-VLOOKUP(K51,تقویم!$A$2:$B$42,2,0)-336)))),""))</f>
        <v>5</v>
      </c>
    </row>
    <row r="52" customFormat="false" ht="15" hidden="false" customHeight="true" outlineLevel="0" collapsed="false">
      <c r="A52" s="24" t="str">
        <f aca="false">IF('ورودی و مقایسه'!$B$14="آماده",IF(45&lt;='ورودی و مقایسه'!$B$6,45,""),"")</f>
        <v/>
      </c>
      <c r="B52" s="24" t="str">
        <f aca="false">IF(LEN(A52&amp;"")=0,"",IF(ISNUMBER(M52),K52&amp;"/"&amp;TEXT(L52,"00")&amp;"/"&amp;TEXT(M52,"00"),"تاریخ خارج از بازه"))</f>
        <v/>
      </c>
      <c r="C52" s="25" t="str">
        <f aca="false">IF(A52="","",G51)</f>
        <v/>
      </c>
      <c r="D52" s="25" t="str">
        <f aca="false">IF(A52="","",ROUND(C52*'ورودی و مقایسه'!$B$5/12,0))</f>
        <v/>
      </c>
      <c r="E52" s="25" t="str">
        <f aca="false">IF(LEN(A52&amp;"")=0,"",IF(A52='ورودی و مقایسه'!$B$6,C52,MAX(0,MIN(C52,$C$4-D52))))</f>
        <v/>
      </c>
      <c r="F52" s="25" t="str">
        <f aca="false">IF(A52="","",D52+E52)</f>
        <v/>
      </c>
      <c r="G52" s="25" t="str">
        <f aca="false">IF(A52="","",C52-E52)</f>
        <v/>
      </c>
      <c r="J52" s="20" t="n">
        <f aca="false">IF(AND('ورودی و مقایسه'!$B$14="آماده",ISNUMBER('ورودی و مقایسه'!$N$7)),('ورودی و مقایسه'!$L$7-1)+44,"")</f>
        <v>52</v>
      </c>
      <c r="K52" s="20" t="n">
        <f aca="false">IF(ISNUMBER(J52),'ورودی و مقایسه'!$K$7+INT(J52/12),"")</f>
        <v>1409</v>
      </c>
      <c r="L52" s="20" t="n">
        <f aca="false">IF(ISNUMBER(J52),MOD(J52,12)+1,"")</f>
        <v>5</v>
      </c>
      <c r="M52" s="20" t="n">
        <f aca="false">IF(NOT(ISNUMBER(J52)),"",IFERROR(IF(OR(K52&lt;1390,K52&gt;1429),"",MIN('ورودی و مقایسه'!$M$7,IF(L52&lt;=6,31,IF(L52&lt;=11,30,VLOOKUP(K52+1,تقویم!$A$2:$B$42,2,0)-VLOOKUP(K52,تقویم!$A$2:$B$42,2,0)-336)))),""))</f>
        <v>5</v>
      </c>
    </row>
    <row r="53" customFormat="false" ht="15" hidden="false" customHeight="true" outlineLevel="0" collapsed="false">
      <c r="A53" s="26" t="str">
        <f aca="false">IF('ورودی و مقایسه'!$B$14="آماده",IF(46&lt;='ورودی و مقایسه'!$B$6,46,""),"")</f>
        <v/>
      </c>
      <c r="B53" s="26" t="str">
        <f aca="false">IF(LEN(A53&amp;"")=0,"",IF(ISNUMBER(M53),K53&amp;"/"&amp;TEXT(L53,"00")&amp;"/"&amp;TEXT(M53,"00"),"تاریخ خارج از بازه"))</f>
        <v/>
      </c>
      <c r="C53" s="27" t="str">
        <f aca="false">IF(A53="","",G52)</f>
        <v/>
      </c>
      <c r="D53" s="27" t="str">
        <f aca="false">IF(A53="","",ROUND(C53*'ورودی و مقایسه'!$B$5/12,0))</f>
        <v/>
      </c>
      <c r="E53" s="27" t="str">
        <f aca="false">IF(LEN(A53&amp;"")=0,"",IF(A53='ورودی و مقایسه'!$B$6,C53,MAX(0,MIN(C53,$C$4-D53))))</f>
        <v/>
      </c>
      <c r="F53" s="27" t="str">
        <f aca="false">IF(A53="","",D53+E53)</f>
        <v/>
      </c>
      <c r="G53" s="27" t="str">
        <f aca="false">IF(A53="","",C53-E53)</f>
        <v/>
      </c>
      <c r="J53" s="20" t="n">
        <f aca="false">IF(AND('ورودی و مقایسه'!$B$14="آماده",ISNUMBER('ورودی و مقایسه'!$N$7)),('ورودی و مقایسه'!$L$7-1)+45,"")</f>
        <v>53</v>
      </c>
      <c r="K53" s="20" t="n">
        <f aca="false">IF(ISNUMBER(J53),'ورودی و مقایسه'!$K$7+INT(J53/12),"")</f>
        <v>1409</v>
      </c>
      <c r="L53" s="20" t="n">
        <f aca="false">IF(ISNUMBER(J53),MOD(J53,12)+1,"")</f>
        <v>6</v>
      </c>
      <c r="M53" s="20" t="n">
        <f aca="false">IF(NOT(ISNUMBER(J53)),"",IFERROR(IF(OR(K53&lt;1390,K53&gt;1429),"",MIN('ورودی و مقایسه'!$M$7,IF(L53&lt;=6,31,IF(L53&lt;=11,30,VLOOKUP(K53+1,تقویم!$A$2:$B$42,2,0)-VLOOKUP(K53,تقویم!$A$2:$B$42,2,0)-336)))),""))</f>
        <v>5</v>
      </c>
    </row>
    <row r="54" customFormat="false" ht="15" hidden="false" customHeight="true" outlineLevel="0" collapsed="false">
      <c r="A54" s="24" t="str">
        <f aca="false">IF('ورودی و مقایسه'!$B$14="آماده",IF(47&lt;='ورودی و مقایسه'!$B$6,47,""),"")</f>
        <v/>
      </c>
      <c r="B54" s="24" t="str">
        <f aca="false">IF(LEN(A54&amp;"")=0,"",IF(ISNUMBER(M54),K54&amp;"/"&amp;TEXT(L54,"00")&amp;"/"&amp;TEXT(M54,"00"),"تاریخ خارج از بازه"))</f>
        <v/>
      </c>
      <c r="C54" s="25" t="str">
        <f aca="false">IF(A54="","",G53)</f>
        <v/>
      </c>
      <c r="D54" s="25" t="str">
        <f aca="false">IF(A54="","",ROUND(C54*'ورودی و مقایسه'!$B$5/12,0))</f>
        <v/>
      </c>
      <c r="E54" s="25" t="str">
        <f aca="false">IF(LEN(A54&amp;"")=0,"",IF(A54='ورودی و مقایسه'!$B$6,C54,MAX(0,MIN(C54,$C$4-D54))))</f>
        <v/>
      </c>
      <c r="F54" s="25" t="str">
        <f aca="false">IF(A54="","",D54+E54)</f>
        <v/>
      </c>
      <c r="G54" s="25" t="str">
        <f aca="false">IF(A54="","",C54-E54)</f>
        <v/>
      </c>
      <c r="J54" s="20" t="n">
        <f aca="false">IF(AND('ورودی و مقایسه'!$B$14="آماده",ISNUMBER('ورودی و مقایسه'!$N$7)),('ورودی و مقایسه'!$L$7-1)+46,"")</f>
        <v>54</v>
      </c>
      <c r="K54" s="20" t="n">
        <f aca="false">IF(ISNUMBER(J54),'ورودی و مقایسه'!$K$7+INT(J54/12),"")</f>
        <v>1409</v>
      </c>
      <c r="L54" s="20" t="n">
        <f aca="false">IF(ISNUMBER(J54),MOD(J54,12)+1,"")</f>
        <v>7</v>
      </c>
      <c r="M54" s="20" t="n">
        <f aca="false">IF(NOT(ISNUMBER(J54)),"",IFERROR(IF(OR(K54&lt;1390,K54&gt;1429),"",MIN('ورودی و مقایسه'!$M$7,IF(L54&lt;=6,31,IF(L54&lt;=11,30,VLOOKUP(K54+1,تقویم!$A$2:$B$42,2,0)-VLOOKUP(K54,تقویم!$A$2:$B$42,2,0)-336)))),""))</f>
        <v>5</v>
      </c>
    </row>
    <row r="55" customFormat="false" ht="15" hidden="false" customHeight="true" outlineLevel="0" collapsed="false">
      <c r="A55" s="26" t="str">
        <f aca="false">IF('ورودی و مقایسه'!$B$14="آماده",IF(48&lt;='ورودی و مقایسه'!$B$6,48,""),"")</f>
        <v/>
      </c>
      <c r="B55" s="26" t="str">
        <f aca="false">IF(LEN(A55&amp;"")=0,"",IF(ISNUMBER(M55),K55&amp;"/"&amp;TEXT(L55,"00")&amp;"/"&amp;TEXT(M55,"00"),"تاریخ خارج از بازه"))</f>
        <v/>
      </c>
      <c r="C55" s="27" t="str">
        <f aca="false">IF(A55="","",G54)</f>
        <v/>
      </c>
      <c r="D55" s="27" t="str">
        <f aca="false">IF(A55="","",ROUND(C55*'ورودی و مقایسه'!$B$5/12,0))</f>
        <v/>
      </c>
      <c r="E55" s="27" t="str">
        <f aca="false">IF(LEN(A55&amp;"")=0,"",IF(A55='ورودی و مقایسه'!$B$6,C55,MAX(0,MIN(C55,$C$4-D55))))</f>
        <v/>
      </c>
      <c r="F55" s="27" t="str">
        <f aca="false">IF(A55="","",D55+E55)</f>
        <v/>
      </c>
      <c r="G55" s="27" t="str">
        <f aca="false">IF(A55="","",C55-E55)</f>
        <v/>
      </c>
      <c r="J55" s="20" t="n">
        <f aca="false">IF(AND('ورودی و مقایسه'!$B$14="آماده",ISNUMBER('ورودی و مقایسه'!$N$7)),('ورودی و مقایسه'!$L$7-1)+47,"")</f>
        <v>55</v>
      </c>
      <c r="K55" s="20" t="n">
        <f aca="false">IF(ISNUMBER(J55),'ورودی و مقایسه'!$K$7+INT(J55/12),"")</f>
        <v>1409</v>
      </c>
      <c r="L55" s="20" t="n">
        <f aca="false">IF(ISNUMBER(J55),MOD(J55,12)+1,"")</f>
        <v>8</v>
      </c>
      <c r="M55" s="20" t="n">
        <f aca="false">IF(NOT(ISNUMBER(J55)),"",IFERROR(IF(OR(K55&lt;1390,K55&gt;1429),"",MIN('ورودی و مقایسه'!$M$7,IF(L55&lt;=6,31,IF(L55&lt;=11,30,VLOOKUP(K55+1,تقویم!$A$2:$B$42,2,0)-VLOOKUP(K55,تقویم!$A$2:$B$42,2,0)-336)))),""))</f>
        <v>5</v>
      </c>
    </row>
    <row r="56" customFormat="false" ht="15" hidden="false" customHeight="true" outlineLevel="0" collapsed="false">
      <c r="A56" s="24" t="str">
        <f aca="false">IF('ورودی و مقایسه'!$B$14="آماده",IF(49&lt;='ورودی و مقایسه'!$B$6,49,""),"")</f>
        <v/>
      </c>
      <c r="B56" s="24" t="str">
        <f aca="false">IF(LEN(A56&amp;"")=0,"",IF(ISNUMBER(M56),K56&amp;"/"&amp;TEXT(L56,"00")&amp;"/"&amp;TEXT(M56,"00"),"تاریخ خارج از بازه"))</f>
        <v/>
      </c>
      <c r="C56" s="25" t="str">
        <f aca="false">IF(A56="","",G55)</f>
        <v/>
      </c>
      <c r="D56" s="25" t="str">
        <f aca="false">IF(A56="","",ROUND(C56*'ورودی و مقایسه'!$B$5/12,0))</f>
        <v/>
      </c>
      <c r="E56" s="25" t="str">
        <f aca="false">IF(LEN(A56&amp;"")=0,"",IF(A56='ورودی و مقایسه'!$B$6,C56,MAX(0,MIN(C56,$C$4-D56))))</f>
        <v/>
      </c>
      <c r="F56" s="25" t="str">
        <f aca="false">IF(A56="","",D56+E56)</f>
        <v/>
      </c>
      <c r="G56" s="25" t="str">
        <f aca="false">IF(A56="","",C56-E56)</f>
        <v/>
      </c>
      <c r="J56" s="20" t="n">
        <f aca="false">IF(AND('ورودی و مقایسه'!$B$14="آماده",ISNUMBER('ورودی و مقایسه'!$N$7)),('ورودی و مقایسه'!$L$7-1)+48,"")</f>
        <v>56</v>
      </c>
      <c r="K56" s="20" t="n">
        <f aca="false">IF(ISNUMBER(J56),'ورودی و مقایسه'!$K$7+INT(J56/12),"")</f>
        <v>1409</v>
      </c>
      <c r="L56" s="20" t="n">
        <f aca="false">IF(ISNUMBER(J56),MOD(J56,12)+1,"")</f>
        <v>9</v>
      </c>
      <c r="M56" s="20" t="n">
        <f aca="false">IF(NOT(ISNUMBER(J56)),"",IFERROR(IF(OR(K56&lt;1390,K56&gt;1429),"",MIN('ورودی و مقایسه'!$M$7,IF(L56&lt;=6,31,IF(L56&lt;=11,30,VLOOKUP(K56+1,تقویم!$A$2:$B$42,2,0)-VLOOKUP(K56,تقویم!$A$2:$B$42,2,0)-336)))),""))</f>
        <v>5</v>
      </c>
    </row>
    <row r="57" customFormat="false" ht="15" hidden="false" customHeight="true" outlineLevel="0" collapsed="false">
      <c r="A57" s="26" t="str">
        <f aca="false">IF('ورودی و مقایسه'!$B$14="آماده",IF(50&lt;='ورودی و مقایسه'!$B$6,50,""),"")</f>
        <v/>
      </c>
      <c r="B57" s="26" t="str">
        <f aca="false">IF(LEN(A57&amp;"")=0,"",IF(ISNUMBER(M57),K57&amp;"/"&amp;TEXT(L57,"00")&amp;"/"&amp;TEXT(M57,"00"),"تاریخ خارج از بازه"))</f>
        <v/>
      </c>
      <c r="C57" s="27" t="str">
        <f aca="false">IF(A57="","",G56)</f>
        <v/>
      </c>
      <c r="D57" s="27" t="str">
        <f aca="false">IF(A57="","",ROUND(C57*'ورودی و مقایسه'!$B$5/12,0))</f>
        <v/>
      </c>
      <c r="E57" s="27" t="str">
        <f aca="false">IF(LEN(A57&amp;"")=0,"",IF(A57='ورودی و مقایسه'!$B$6,C57,MAX(0,MIN(C57,$C$4-D57))))</f>
        <v/>
      </c>
      <c r="F57" s="27" t="str">
        <f aca="false">IF(A57="","",D57+E57)</f>
        <v/>
      </c>
      <c r="G57" s="27" t="str">
        <f aca="false">IF(A57="","",C57-E57)</f>
        <v/>
      </c>
      <c r="J57" s="20" t="n">
        <f aca="false">IF(AND('ورودی و مقایسه'!$B$14="آماده",ISNUMBER('ورودی و مقایسه'!$N$7)),('ورودی و مقایسه'!$L$7-1)+49,"")</f>
        <v>57</v>
      </c>
      <c r="K57" s="20" t="n">
        <f aca="false">IF(ISNUMBER(J57),'ورودی و مقایسه'!$K$7+INT(J57/12),"")</f>
        <v>1409</v>
      </c>
      <c r="L57" s="20" t="n">
        <f aca="false">IF(ISNUMBER(J57),MOD(J57,12)+1,"")</f>
        <v>10</v>
      </c>
      <c r="M57" s="20" t="n">
        <f aca="false">IF(NOT(ISNUMBER(J57)),"",IFERROR(IF(OR(K57&lt;1390,K57&gt;1429),"",MIN('ورودی و مقایسه'!$M$7,IF(L57&lt;=6,31,IF(L57&lt;=11,30,VLOOKUP(K57+1,تقویم!$A$2:$B$42,2,0)-VLOOKUP(K57,تقویم!$A$2:$B$42,2,0)-336)))),""))</f>
        <v>5</v>
      </c>
    </row>
    <row r="58" customFormat="false" ht="15" hidden="false" customHeight="true" outlineLevel="0" collapsed="false">
      <c r="A58" s="24" t="str">
        <f aca="false">IF('ورودی و مقایسه'!$B$14="آماده",IF(51&lt;='ورودی و مقایسه'!$B$6,51,""),"")</f>
        <v/>
      </c>
      <c r="B58" s="24" t="str">
        <f aca="false">IF(LEN(A58&amp;"")=0,"",IF(ISNUMBER(M58),K58&amp;"/"&amp;TEXT(L58,"00")&amp;"/"&amp;TEXT(M58,"00"),"تاریخ خارج از بازه"))</f>
        <v/>
      </c>
      <c r="C58" s="25" t="str">
        <f aca="false">IF(A58="","",G57)</f>
        <v/>
      </c>
      <c r="D58" s="25" t="str">
        <f aca="false">IF(A58="","",ROUND(C58*'ورودی و مقایسه'!$B$5/12,0))</f>
        <v/>
      </c>
      <c r="E58" s="25" t="str">
        <f aca="false">IF(LEN(A58&amp;"")=0,"",IF(A58='ورودی و مقایسه'!$B$6,C58,MAX(0,MIN(C58,$C$4-D58))))</f>
        <v/>
      </c>
      <c r="F58" s="25" t="str">
        <f aca="false">IF(A58="","",D58+E58)</f>
        <v/>
      </c>
      <c r="G58" s="25" t="str">
        <f aca="false">IF(A58="","",C58-E58)</f>
        <v/>
      </c>
      <c r="J58" s="20" t="n">
        <f aca="false">IF(AND('ورودی و مقایسه'!$B$14="آماده",ISNUMBER('ورودی و مقایسه'!$N$7)),('ورودی و مقایسه'!$L$7-1)+50,"")</f>
        <v>58</v>
      </c>
      <c r="K58" s="20" t="n">
        <f aca="false">IF(ISNUMBER(J58),'ورودی و مقایسه'!$K$7+INT(J58/12),"")</f>
        <v>1409</v>
      </c>
      <c r="L58" s="20" t="n">
        <f aca="false">IF(ISNUMBER(J58),MOD(J58,12)+1,"")</f>
        <v>11</v>
      </c>
      <c r="M58" s="20" t="n">
        <f aca="false">IF(NOT(ISNUMBER(J58)),"",IFERROR(IF(OR(K58&lt;1390,K58&gt;1429),"",MIN('ورودی و مقایسه'!$M$7,IF(L58&lt;=6,31,IF(L58&lt;=11,30,VLOOKUP(K58+1,تقویم!$A$2:$B$42,2,0)-VLOOKUP(K58,تقویم!$A$2:$B$42,2,0)-336)))),""))</f>
        <v>5</v>
      </c>
    </row>
    <row r="59" customFormat="false" ht="15" hidden="false" customHeight="true" outlineLevel="0" collapsed="false">
      <c r="A59" s="26" t="str">
        <f aca="false">IF('ورودی و مقایسه'!$B$14="آماده",IF(52&lt;='ورودی و مقایسه'!$B$6,52,""),"")</f>
        <v/>
      </c>
      <c r="B59" s="26" t="str">
        <f aca="false">IF(LEN(A59&amp;"")=0,"",IF(ISNUMBER(M59),K59&amp;"/"&amp;TEXT(L59,"00")&amp;"/"&amp;TEXT(M59,"00"),"تاریخ خارج از بازه"))</f>
        <v/>
      </c>
      <c r="C59" s="27" t="str">
        <f aca="false">IF(A59="","",G58)</f>
        <v/>
      </c>
      <c r="D59" s="27" t="str">
        <f aca="false">IF(A59="","",ROUND(C59*'ورودی و مقایسه'!$B$5/12,0))</f>
        <v/>
      </c>
      <c r="E59" s="27" t="str">
        <f aca="false">IF(LEN(A59&amp;"")=0,"",IF(A59='ورودی و مقایسه'!$B$6,C59,MAX(0,MIN(C59,$C$4-D59))))</f>
        <v/>
      </c>
      <c r="F59" s="27" t="str">
        <f aca="false">IF(A59="","",D59+E59)</f>
        <v/>
      </c>
      <c r="G59" s="27" t="str">
        <f aca="false">IF(A59="","",C59-E59)</f>
        <v/>
      </c>
      <c r="J59" s="20" t="n">
        <f aca="false">IF(AND('ورودی و مقایسه'!$B$14="آماده",ISNUMBER('ورودی و مقایسه'!$N$7)),('ورودی و مقایسه'!$L$7-1)+51,"")</f>
        <v>59</v>
      </c>
      <c r="K59" s="20" t="n">
        <f aca="false">IF(ISNUMBER(J59),'ورودی و مقایسه'!$K$7+INT(J59/12),"")</f>
        <v>1409</v>
      </c>
      <c r="L59" s="20" t="n">
        <f aca="false">IF(ISNUMBER(J59),MOD(J59,12)+1,"")</f>
        <v>12</v>
      </c>
      <c r="M59" s="20" t="n">
        <f aca="false">IF(NOT(ISNUMBER(J59)),"",IFERROR(IF(OR(K59&lt;1390,K59&gt;1429),"",MIN('ورودی و مقایسه'!$M$7,IF(L59&lt;=6,31,IF(L59&lt;=11,30,VLOOKUP(K59+1,تقویم!$A$2:$B$42,2,0)-VLOOKUP(K59,تقویم!$A$2:$B$42,2,0)-336)))),""))</f>
        <v>5</v>
      </c>
    </row>
    <row r="60" customFormat="false" ht="15" hidden="false" customHeight="true" outlineLevel="0" collapsed="false">
      <c r="A60" s="24" t="str">
        <f aca="false">IF('ورودی و مقایسه'!$B$14="آماده",IF(53&lt;='ورودی و مقایسه'!$B$6,53,""),"")</f>
        <v/>
      </c>
      <c r="B60" s="24" t="str">
        <f aca="false">IF(LEN(A60&amp;"")=0,"",IF(ISNUMBER(M60),K60&amp;"/"&amp;TEXT(L60,"00")&amp;"/"&amp;TEXT(M60,"00"),"تاریخ خارج از بازه"))</f>
        <v/>
      </c>
      <c r="C60" s="25" t="str">
        <f aca="false">IF(A60="","",G59)</f>
        <v/>
      </c>
      <c r="D60" s="25" t="str">
        <f aca="false">IF(A60="","",ROUND(C60*'ورودی و مقایسه'!$B$5/12,0))</f>
        <v/>
      </c>
      <c r="E60" s="25" t="str">
        <f aca="false">IF(LEN(A60&amp;"")=0,"",IF(A60='ورودی و مقایسه'!$B$6,C60,MAX(0,MIN(C60,$C$4-D60))))</f>
        <v/>
      </c>
      <c r="F60" s="25" t="str">
        <f aca="false">IF(A60="","",D60+E60)</f>
        <v/>
      </c>
      <c r="G60" s="25" t="str">
        <f aca="false">IF(A60="","",C60-E60)</f>
        <v/>
      </c>
      <c r="J60" s="20" t="n">
        <f aca="false">IF(AND('ورودی و مقایسه'!$B$14="آماده",ISNUMBER('ورودی و مقایسه'!$N$7)),('ورودی و مقایسه'!$L$7-1)+52,"")</f>
        <v>60</v>
      </c>
      <c r="K60" s="20" t="n">
        <f aca="false">IF(ISNUMBER(J60),'ورودی و مقایسه'!$K$7+INT(J60/12),"")</f>
        <v>1410</v>
      </c>
      <c r="L60" s="20" t="n">
        <f aca="false">IF(ISNUMBER(J60),MOD(J60,12)+1,"")</f>
        <v>1</v>
      </c>
      <c r="M60" s="20" t="n">
        <f aca="false">IF(NOT(ISNUMBER(J60)),"",IFERROR(IF(OR(K60&lt;1390,K60&gt;1429),"",MIN('ورودی و مقایسه'!$M$7,IF(L60&lt;=6,31,IF(L60&lt;=11,30,VLOOKUP(K60+1,تقویم!$A$2:$B$42,2,0)-VLOOKUP(K60,تقویم!$A$2:$B$42,2,0)-336)))),""))</f>
        <v>5</v>
      </c>
    </row>
    <row r="61" customFormat="false" ht="15" hidden="false" customHeight="true" outlineLevel="0" collapsed="false">
      <c r="A61" s="26" t="str">
        <f aca="false">IF('ورودی و مقایسه'!$B$14="آماده",IF(54&lt;='ورودی و مقایسه'!$B$6,54,""),"")</f>
        <v/>
      </c>
      <c r="B61" s="26" t="str">
        <f aca="false">IF(LEN(A61&amp;"")=0,"",IF(ISNUMBER(M61),K61&amp;"/"&amp;TEXT(L61,"00")&amp;"/"&amp;TEXT(M61,"00"),"تاریخ خارج از بازه"))</f>
        <v/>
      </c>
      <c r="C61" s="27" t="str">
        <f aca="false">IF(A61="","",G60)</f>
        <v/>
      </c>
      <c r="D61" s="27" t="str">
        <f aca="false">IF(A61="","",ROUND(C61*'ورودی و مقایسه'!$B$5/12,0))</f>
        <v/>
      </c>
      <c r="E61" s="27" t="str">
        <f aca="false">IF(LEN(A61&amp;"")=0,"",IF(A61='ورودی و مقایسه'!$B$6,C61,MAX(0,MIN(C61,$C$4-D61))))</f>
        <v/>
      </c>
      <c r="F61" s="27" t="str">
        <f aca="false">IF(A61="","",D61+E61)</f>
        <v/>
      </c>
      <c r="G61" s="27" t="str">
        <f aca="false">IF(A61="","",C61-E61)</f>
        <v/>
      </c>
      <c r="J61" s="20" t="n">
        <f aca="false">IF(AND('ورودی و مقایسه'!$B$14="آماده",ISNUMBER('ورودی و مقایسه'!$N$7)),('ورودی و مقایسه'!$L$7-1)+53,"")</f>
        <v>61</v>
      </c>
      <c r="K61" s="20" t="n">
        <f aca="false">IF(ISNUMBER(J61),'ورودی و مقایسه'!$K$7+INT(J61/12),"")</f>
        <v>1410</v>
      </c>
      <c r="L61" s="20" t="n">
        <f aca="false">IF(ISNUMBER(J61),MOD(J61,12)+1,"")</f>
        <v>2</v>
      </c>
      <c r="M61" s="20" t="n">
        <f aca="false">IF(NOT(ISNUMBER(J61)),"",IFERROR(IF(OR(K61&lt;1390,K61&gt;1429),"",MIN('ورودی و مقایسه'!$M$7,IF(L61&lt;=6,31,IF(L61&lt;=11,30,VLOOKUP(K61+1,تقویم!$A$2:$B$42,2,0)-VLOOKUP(K61,تقویم!$A$2:$B$42,2,0)-336)))),""))</f>
        <v>5</v>
      </c>
    </row>
    <row r="62" customFormat="false" ht="15" hidden="false" customHeight="true" outlineLevel="0" collapsed="false">
      <c r="A62" s="24" t="str">
        <f aca="false">IF('ورودی و مقایسه'!$B$14="آماده",IF(55&lt;='ورودی و مقایسه'!$B$6,55,""),"")</f>
        <v/>
      </c>
      <c r="B62" s="24" t="str">
        <f aca="false">IF(LEN(A62&amp;"")=0,"",IF(ISNUMBER(M62),K62&amp;"/"&amp;TEXT(L62,"00")&amp;"/"&amp;TEXT(M62,"00"),"تاریخ خارج از بازه"))</f>
        <v/>
      </c>
      <c r="C62" s="25" t="str">
        <f aca="false">IF(A62="","",G61)</f>
        <v/>
      </c>
      <c r="D62" s="25" t="str">
        <f aca="false">IF(A62="","",ROUND(C62*'ورودی و مقایسه'!$B$5/12,0))</f>
        <v/>
      </c>
      <c r="E62" s="25" t="str">
        <f aca="false">IF(LEN(A62&amp;"")=0,"",IF(A62='ورودی و مقایسه'!$B$6,C62,MAX(0,MIN(C62,$C$4-D62))))</f>
        <v/>
      </c>
      <c r="F62" s="25" t="str">
        <f aca="false">IF(A62="","",D62+E62)</f>
        <v/>
      </c>
      <c r="G62" s="25" t="str">
        <f aca="false">IF(A62="","",C62-E62)</f>
        <v/>
      </c>
      <c r="J62" s="20" t="n">
        <f aca="false">IF(AND('ورودی و مقایسه'!$B$14="آماده",ISNUMBER('ورودی و مقایسه'!$N$7)),('ورودی و مقایسه'!$L$7-1)+54,"")</f>
        <v>62</v>
      </c>
      <c r="K62" s="20" t="n">
        <f aca="false">IF(ISNUMBER(J62),'ورودی و مقایسه'!$K$7+INT(J62/12),"")</f>
        <v>1410</v>
      </c>
      <c r="L62" s="20" t="n">
        <f aca="false">IF(ISNUMBER(J62),MOD(J62,12)+1,"")</f>
        <v>3</v>
      </c>
      <c r="M62" s="20" t="n">
        <f aca="false">IF(NOT(ISNUMBER(J62)),"",IFERROR(IF(OR(K62&lt;1390,K62&gt;1429),"",MIN('ورودی و مقایسه'!$M$7,IF(L62&lt;=6,31,IF(L62&lt;=11,30,VLOOKUP(K62+1,تقویم!$A$2:$B$42,2,0)-VLOOKUP(K62,تقویم!$A$2:$B$42,2,0)-336)))),""))</f>
        <v>5</v>
      </c>
    </row>
    <row r="63" customFormat="false" ht="15" hidden="false" customHeight="true" outlineLevel="0" collapsed="false">
      <c r="A63" s="26" t="str">
        <f aca="false">IF('ورودی و مقایسه'!$B$14="آماده",IF(56&lt;='ورودی و مقایسه'!$B$6,56,""),"")</f>
        <v/>
      </c>
      <c r="B63" s="26" t="str">
        <f aca="false">IF(LEN(A63&amp;"")=0,"",IF(ISNUMBER(M63),K63&amp;"/"&amp;TEXT(L63,"00")&amp;"/"&amp;TEXT(M63,"00"),"تاریخ خارج از بازه"))</f>
        <v/>
      </c>
      <c r="C63" s="27" t="str">
        <f aca="false">IF(A63="","",G62)</f>
        <v/>
      </c>
      <c r="D63" s="27" t="str">
        <f aca="false">IF(A63="","",ROUND(C63*'ورودی و مقایسه'!$B$5/12,0))</f>
        <v/>
      </c>
      <c r="E63" s="27" t="str">
        <f aca="false">IF(LEN(A63&amp;"")=0,"",IF(A63='ورودی و مقایسه'!$B$6,C63,MAX(0,MIN(C63,$C$4-D63))))</f>
        <v/>
      </c>
      <c r="F63" s="27" t="str">
        <f aca="false">IF(A63="","",D63+E63)</f>
        <v/>
      </c>
      <c r="G63" s="27" t="str">
        <f aca="false">IF(A63="","",C63-E63)</f>
        <v/>
      </c>
      <c r="J63" s="20" t="n">
        <f aca="false">IF(AND('ورودی و مقایسه'!$B$14="آماده",ISNUMBER('ورودی و مقایسه'!$N$7)),('ورودی و مقایسه'!$L$7-1)+55,"")</f>
        <v>63</v>
      </c>
      <c r="K63" s="20" t="n">
        <f aca="false">IF(ISNUMBER(J63),'ورودی و مقایسه'!$K$7+INT(J63/12),"")</f>
        <v>1410</v>
      </c>
      <c r="L63" s="20" t="n">
        <f aca="false">IF(ISNUMBER(J63),MOD(J63,12)+1,"")</f>
        <v>4</v>
      </c>
      <c r="M63" s="20" t="n">
        <f aca="false">IF(NOT(ISNUMBER(J63)),"",IFERROR(IF(OR(K63&lt;1390,K63&gt;1429),"",MIN('ورودی و مقایسه'!$M$7,IF(L63&lt;=6,31,IF(L63&lt;=11,30,VLOOKUP(K63+1,تقویم!$A$2:$B$42,2,0)-VLOOKUP(K63,تقویم!$A$2:$B$42,2,0)-336)))),""))</f>
        <v>5</v>
      </c>
    </row>
    <row r="64" customFormat="false" ht="15" hidden="false" customHeight="true" outlineLevel="0" collapsed="false">
      <c r="A64" s="24" t="str">
        <f aca="false">IF('ورودی و مقایسه'!$B$14="آماده",IF(57&lt;='ورودی و مقایسه'!$B$6,57,""),"")</f>
        <v/>
      </c>
      <c r="B64" s="24" t="str">
        <f aca="false">IF(LEN(A64&amp;"")=0,"",IF(ISNUMBER(M64),K64&amp;"/"&amp;TEXT(L64,"00")&amp;"/"&amp;TEXT(M64,"00"),"تاریخ خارج از بازه"))</f>
        <v/>
      </c>
      <c r="C64" s="25" t="str">
        <f aca="false">IF(A64="","",G63)</f>
        <v/>
      </c>
      <c r="D64" s="25" t="str">
        <f aca="false">IF(A64="","",ROUND(C64*'ورودی و مقایسه'!$B$5/12,0))</f>
        <v/>
      </c>
      <c r="E64" s="25" t="str">
        <f aca="false">IF(LEN(A64&amp;"")=0,"",IF(A64='ورودی و مقایسه'!$B$6,C64,MAX(0,MIN(C64,$C$4-D64))))</f>
        <v/>
      </c>
      <c r="F64" s="25" t="str">
        <f aca="false">IF(A64="","",D64+E64)</f>
        <v/>
      </c>
      <c r="G64" s="25" t="str">
        <f aca="false">IF(A64="","",C64-E64)</f>
        <v/>
      </c>
      <c r="J64" s="20" t="n">
        <f aca="false">IF(AND('ورودی و مقایسه'!$B$14="آماده",ISNUMBER('ورودی و مقایسه'!$N$7)),('ورودی و مقایسه'!$L$7-1)+56,"")</f>
        <v>64</v>
      </c>
      <c r="K64" s="20" t="n">
        <f aca="false">IF(ISNUMBER(J64),'ورودی و مقایسه'!$K$7+INT(J64/12),"")</f>
        <v>1410</v>
      </c>
      <c r="L64" s="20" t="n">
        <f aca="false">IF(ISNUMBER(J64),MOD(J64,12)+1,"")</f>
        <v>5</v>
      </c>
      <c r="M64" s="20" t="n">
        <f aca="false">IF(NOT(ISNUMBER(J64)),"",IFERROR(IF(OR(K64&lt;1390,K64&gt;1429),"",MIN('ورودی و مقایسه'!$M$7,IF(L64&lt;=6,31,IF(L64&lt;=11,30,VLOOKUP(K64+1,تقویم!$A$2:$B$42,2,0)-VLOOKUP(K64,تقویم!$A$2:$B$42,2,0)-336)))),""))</f>
        <v>5</v>
      </c>
    </row>
    <row r="65" customFormat="false" ht="15" hidden="false" customHeight="true" outlineLevel="0" collapsed="false">
      <c r="A65" s="26" t="str">
        <f aca="false">IF('ورودی و مقایسه'!$B$14="آماده",IF(58&lt;='ورودی و مقایسه'!$B$6,58,""),"")</f>
        <v/>
      </c>
      <c r="B65" s="26" t="str">
        <f aca="false">IF(LEN(A65&amp;"")=0,"",IF(ISNUMBER(M65),K65&amp;"/"&amp;TEXT(L65,"00")&amp;"/"&amp;TEXT(M65,"00"),"تاریخ خارج از بازه"))</f>
        <v/>
      </c>
      <c r="C65" s="27" t="str">
        <f aca="false">IF(A65="","",G64)</f>
        <v/>
      </c>
      <c r="D65" s="27" t="str">
        <f aca="false">IF(A65="","",ROUND(C65*'ورودی و مقایسه'!$B$5/12,0))</f>
        <v/>
      </c>
      <c r="E65" s="27" t="str">
        <f aca="false">IF(LEN(A65&amp;"")=0,"",IF(A65='ورودی و مقایسه'!$B$6,C65,MAX(0,MIN(C65,$C$4-D65))))</f>
        <v/>
      </c>
      <c r="F65" s="27" t="str">
        <f aca="false">IF(A65="","",D65+E65)</f>
        <v/>
      </c>
      <c r="G65" s="27" t="str">
        <f aca="false">IF(A65="","",C65-E65)</f>
        <v/>
      </c>
      <c r="J65" s="20" t="n">
        <f aca="false">IF(AND('ورودی و مقایسه'!$B$14="آماده",ISNUMBER('ورودی و مقایسه'!$N$7)),('ورودی و مقایسه'!$L$7-1)+57,"")</f>
        <v>65</v>
      </c>
      <c r="K65" s="20" t="n">
        <f aca="false">IF(ISNUMBER(J65),'ورودی و مقایسه'!$K$7+INT(J65/12),"")</f>
        <v>1410</v>
      </c>
      <c r="L65" s="20" t="n">
        <f aca="false">IF(ISNUMBER(J65),MOD(J65,12)+1,"")</f>
        <v>6</v>
      </c>
      <c r="M65" s="20" t="n">
        <f aca="false">IF(NOT(ISNUMBER(J65)),"",IFERROR(IF(OR(K65&lt;1390,K65&gt;1429),"",MIN('ورودی و مقایسه'!$M$7,IF(L65&lt;=6,31,IF(L65&lt;=11,30,VLOOKUP(K65+1,تقویم!$A$2:$B$42,2,0)-VLOOKUP(K65,تقویم!$A$2:$B$42,2,0)-336)))),""))</f>
        <v>5</v>
      </c>
    </row>
    <row r="66" customFormat="false" ht="15" hidden="false" customHeight="true" outlineLevel="0" collapsed="false">
      <c r="A66" s="24" t="str">
        <f aca="false">IF('ورودی و مقایسه'!$B$14="آماده",IF(59&lt;='ورودی و مقایسه'!$B$6,59,""),"")</f>
        <v/>
      </c>
      <c r="B66" s="24" t="str">
        <f aca="false">IF(LEN(A66&amp;"")=0,"",IF(ISNUMBER(M66),K66&amp;"/"&amp;TEXT(L66,"00")&amp;"/"&amp;TEXT(M66,"00"),"تاریخ خارج از بازه"))</f>
        <v/>
      </c>
      <c r="C66" s="25" t="str">
        <f aca="false">IF(A66="","",G65)</f>
        <v/>
      </c>
      <c r="D66" s="25" t="str">
        <f aca="false">IF(A66="","",ROUND(C66*'ورودی و مقایسه'!$B$5/12,0))</f>
        <v/>
      </c>
      <c r="E66" s="25" t="str">
        <f aca="false">IF(LEN(A66&amp;"")=0,"",IF(A66='ورودی و مقایسه'!$B$6,C66,MAX(0,MIN(C66,$C$4-D66))))</f>
        <v/>
      </c>
      <c r="F66" s="25" t="str">
        <f aca="false">IF(A66="","",D66+E66)</f>
        <v/>
      </c>
      <c r="G66" s="25" t="str">
        <f aca="false">IF(A66="","",C66-E66)</f>
        <v/>
      </c>
      <c r="J66" s="20" t="n">
        <f aca="false">IF(AND('ورودی و مقایسه'!$B$14="آماده",ISNUMBER('ورودی و مقایسه'!$N$7)),('ورودی و مقایسه'!$L$7-1)+58,"")</f>
        <v>66</v>
      </c>
      <c r="K66" s="20" t="n">
        <f aca="false">IF(ISNUMBER(J66),'ورودی و مقایسه'!$K$7+INT(J66/12),"")</f>
        <v>1410</v>
      </c>
      <c r="L66" s="20" t="n">
        <f aca="false">IF(ISNUMBER(J66),MOD(J66,12)+1,"")</f>
        <v>7</v>
      </c>
      <c r="M66" s="20" t="n">
        <f aca="false">IF(NOT(ISNUMBER(J66)),"",IFERROR(IF(OR(K66&lt;1390,K66&gt;1429),"",MIN('ورودی و مقایسه'!$M$7,IF(L66&lt;=6,31,IF(L66&lt;=11,30,VLOOKUP(K66+1,تقویم!$A$2:$B$42,2,0)-VLOOKUP(K66,تقویم!$A$2:$B$42,2,0)-336)))),""))</f>
        <v>5</v>
      </c>
    </row>
    <row r="67" customFormat="false" ht="15" hidden="false" customHeight="true" outlineLevel="0" collapsed="false">
      <c r="A67" s="26" t="str">
        <f aca="false">IF('ورودی و مقایسه'!$B$14="آماده",IF(60&lt;='ورودی و مقایسه'!$B$6,60,""),"")</f>
        <v/>
      </c>
      <c r="B67" s="26" t="str">
        <f aca="false">IF(LEN(A67&amp;"")=0,"",IF(ISNUMBER(M67),K67&amp;"/"&amp;TEXT(L67,"00")&amp;"/"&amp;TEXT(M67,"00"),"تاریخ خارج از بازه"))</f>
        <v/>
      </c>
      <c r="C67" s="27" t="str">
        <f aca="false">IF(A67="","",G66)</f>
        <v/>
      </c>
      <c r="D67" s="27" t="str">
        <f aca="false">IF(A67="","",ROUND(C67*'ورودی و مقایسه'!$B$5/12,0))</f>
        <v/>
      </c>
      <c r="E67" s="27" t="str">
        <f aca="false">IF(LEN(A67&amp;"")=0,"",IF(A67='ورودی و مقایسه'!$B$6,C67,MAX(0,MIN(C67,$C$4-D67))))</f>
        <v/>
      </c>
      <c r="F67" s="27" t="str">
        <f aca="false">IF(A67="","",D67+E67)</f>
        <v/>
      </c>
      <c r="G67" s="27" t="str">
        <f aca="false">IF(A67="","",C67-E67)</f>
        <v/>
      </c>
      <c r="J67" s="20" t="n">
        <f aca="false">IF(AND('ورودی و مقایسه'!$B$14="آماده",ISNUMBER('ورودی و مقایسه'!$N$7)),('ورودی و مقایسه'!$L$7-1)+59,"")</f>
        <v>67</v>
      </c>
      <c r="K67" s="20" t="n">
        <f aca="false">IF(ISNUMBER(J67),'ورودی و مقایسه'!$K$7+INT(J67/12),"")</f>
        <v>1410</v>
      </c>
      <c r="L67" s="20" t="n">
        <f aca="false">IF(ISNUMBER(J67),MOD(J67,12)+1,"")</f>
        <v>8</v>
      </c>
      <c r="M67" s="20" t="n">
        <f aca="false">IF(NOT(ISNUMBER(J67)),"",IFERROR(IF(OR(K67&lt;1390,K67&gt;1429),"",MIN('ورودی و مقایسه'!$M$7,IF(L67&lt;=6,31,IF(L67&lt;=11,30,VLOOKUP(K67+1,تقویم!$A$2:$B$42,2,0)-VLOOKUP(K67,تقویم!$A$2:$B$42,2,0)-336)))),""))</f>
        <v>5</v>
      </c>
    </row>
  </sheetData>
  <sheetProtection sheet="true" formatColumns="false" formatRows="false"/>
  <mergeCells count="3">
    <mergeCell ref="A1:G1"/>
    <mergeCell ref="A2:G2"/>
    <mergeCell ref="A4:B4"/>
  </mergeCells>
  <conditionalFormatting sqref="B8:B67">
    <cfRule type="containsText" priority="2" operator="containsText" aboveAverage="0" equalAverage="0" bottom="0" percent="0" rank="0" text="نامعتبر" dxfId="0">
      <formula>NOT(ISERROR(SEARCH("نامعتبر",B8)))</formula>
    </cfRule>
    <cfRule type="containsText" priority="3" operator="containsText" aboveAverage="0" equalAverage="0" bottom="0" percent="0" rank="0" text="ناقص" dxfId="0">
      <formula>NOT(ISERROR(SEARCH("ناقص",B8)))</formula>
    </cfRule>
    <cfRule type="containsText" priority="4" operator="containsText" aboveAverage="0" equalAverage="0" bottom="0" percent="0" rank="0" text="تعریف‌نشده" dxfId="0">
      <formula>NOT(ISERROR(SEARCH("تعریف‌نشده",B8)))</formula>
    </cfRule>
    <cfRule type="containsText" priority="5" operator="containsText" aboveAverage="0" equalAverage="0" bottom="0" percent="0" rank="0" text="بیش از" dxfId="0">
      <formula>NOT(ISERROR(SEARCH("بیش از",B8)))</formula>
    </cfRule>
    <cfRule type="containsText" priority="6" operator="containsText" aboveAverage="0" equalAverage="0" bottom="0" percent="0" rank="0" text="اصلاح کنید" dxfId="0">
      <formula>NOT(ISERROR(SEARCH("اصلاح کنید",B8)))</formula>
    </cfRule>
    <cfRule type="containsText" priority="7" operator="containsText" aboveAverage="0" equalAverage="0" bottom="0" percent="0" rank="0" text="وارد کنید" dxfId="0">
      <formula>NOT(ISERROR(SEARCH("وارد کنید",B8)))</formula>
    </cfRule>
  </conditionalFormatting>
  <conditionalFormatting sqref="C4:F4">
    <cfRule type="containsText" priority="8" operator="containsText" aboveAverage="0" equalAverage="0" bottom="0" percent="0" rank="0" text="نامعتبر" dxfId="0">
      <formula>NOT(ISERROR(SEARCH("نامعتبر",C4)))</formula>
    </cfRule>
    <cfRule type="containsText" priority="9" operator="containsText" aboveAverage="0" equalAverage="0" bottom="0" percent="0" rank="0" text="ناقص" dxfId="0">
      <formula>NOT(ISERROR(SEARCH("ناقص",C4)))</formula>
    </cfRule>
    <cfRule type="containsText" priority="10" operator="containsText" aboveAverage="0" equalAverage="0" bottom="0" percent="0" rank="0" text="تعریف‌نشده" dxfId="0">
      <formula>NOT(ISERROR(SEARCH("تعریف‌نشده",C4)))</formula>
    </cfRule>
    <cfRule type="containsText" priority="11" operator="containsText" aboveAverage="0" equalAverage="0" bottom="0" percent="0" rank="0" text="بیش از" dxfId="0">
      <formula>NOT(ISERROR(SEARCH("بیش از",C4)))</formula>
    </cfRule>
    <cfRule type="containsText" priority="12" operator="containsText" aboveAverage="0" equalAverage="0" bottom="0" percent="0" rank="0" text="اصلاح کنید" dxfId="0">
      <formula>NOT(ISERROR(SEARCH("اصلاح کنید",C4)))</formula>
    </cfRule>
    <cfRule type="containsText" priority="13" operator="containsText" aboveAverage="0" equalAverage="0" bottom="0" percent="0" rank="0" text="وارد کنید" dxfId="0">
      <formula>NOT(ISERROR(SEARCH("وارد کنید",C4)))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M6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4"/>
    <col collapsed="false" customWidth="true" hidden="false" outlineLevel="0" max="3" min="3" style="1" width="18"/>
    <col collapsed="false" customWidth="true" hidden="false" outlineLevel="0" max="6" min="4" style="1" width="16"/>
    <col collapsed="false" customWidth="true" hidden="false" outlineLevel="0" max="7" min="7" style="1" width="18"/>
    <col collapsed="false" customWidth="true" hidden="true" outlineLevel="0" max="13" min="10" style="1" width="13"/>
  </cols>
  <sheetData>
    <row r="1" customFormat="false" ht="30" hidden="false" customHeight="true" outlineLevel="0" collapsed="false">
      <c r="A1" s="10" t="s">
        <v>42</v>
      </c>
      <c r="B1" s="10"/>
      <c r="C1" s="10"/>
      <c r="D1" s="10"/>
      <c r="E1" s="10"/>
      <c r="F1" s="10"/>
      <c r="G1" s="10"/>
    </row>
    <row r="2" customFormat="false" ht="15" hidden="false" customHeight="true" outlineLevel="0" collapsed="false">
      <c r="A2" s="11" t="s">
        <v>33</v>
      </c>
      <c r="B2" s="11"/>
      <c r="C2" s="11"/>
      <c r="D2" s="11"/>
      <c r="E2" s="11"/>
      <c r="F2" s="11"/>
      <c r="G2" s="11"/>
    </row>
    <row r="4" customFormat="false" ht="15" hidden="false" customHeight="true" outlineLevel="0" collapsed="false">
      <c r="A4" s="23" t="s">
        <v>43</v>
      </c>
      <c r="B4" s="23"/>
      <c r="C4" s="19" t="n">
        <f aca="false">IF('ورودی و مقایسه'!$B$14="آماده",ROUND('ورودی و مقایسه'!$B$4/'ورودی و مقایسه'!$B$6,0),"ورودی نامعتبر")</f>
        <v>8333333</v>
      </c>
    </row>
    <row r="7" customFormat="false" ht="30" hidden="false" customHeight="true" outlineLevel="0" collapsed="false">
      <c r="A7" s="18" t="s">
        <v>35</v>
      </c>
      <c r="B7" s="18" t="s">
        <v>36</v>
      </c>
      <c r="C7" s="18" t="s">
        <v>37</v>
      </c>
      <c r="D7" s="18" t="s">
        <v>38</v>
      </c>
      <c r="E7" s="18" t="s">
        <v>39</v>
      </c>
      <c r="F7" s="18" t="s">
        <v>40</v>
      </c>
      <c r="G7" s="18" t="s">
        <v>41</v>
      </c>
    </row>
    <row r="8" customFormat="false" ht="15" hidden="false" customHeight="true" outlineLevel="0" collapsed="false">
      <c r="A8" s="24" t="n">
        <f aca="false">IF('ورودی و مقایسه'!$B$14="آماده",IF(1&lt;='ورودی و مقایسه'!$B$6,1,""),"")</f>
        <v>1</v>
      </c>
      <c r="B8" s="24" t="str">
        <f aca="false">IF(LEN(A8&amp;"")=0,"",IF(ISNUMBER(M8),K8&amp;"/"&amp;TEXT(L8,"00")&amp;"/"&amp;TEXT(M8,"00"),"تاریخ خارج از بازه"))</f>
        <v>1405/09/05</v>
      </c>
      <c r="C8" s="25" t="n">
        <f aca="false">IF(A8="","",'ورودی و مقایسه'!$B$4)</f>
        <v>100000000</v>
      </c>
      <c r="D8" s="25" t="n">
        <f aca="false">IF(A8="","",ROUND(C8*'ورودی و مقایسه'!$B$5/12,0))</f>
        <v>1500000</v>
      </c>
      <c r="E8" s="25" t="n">
        <f aca="false">IF(LEN(A8&amp;"")=0,"",IF(A8='ورودی و مقایسه'!$B$6,C8,MAX(0,MIN(C8,$C$4))))</f>
        <v>8333333</v>
      </c>
      <c r="F8" s="25" t="n">
        <f aca="false">IF(A8="","",D8+E8)</f>
        <v>9833333</v>
      </c>
      <c r="G8" s="25" t="n">
        <f aca="false">IF(A8="","",C8-E8)</f>
        <v>91666667</v>
      </c>
      <c r="J8" s="20" t="n">
        <f aca="false">IF(AND('ورودی و مقایسه'!$B$14="آماده",ISNUMBER('ورودی و مقایسه'!$N$7)),('ورودی و مقایسه'!$L$7-1)+0,"")</f>
        <v>8</v>
      </c>
      <c r="K8" s="20" t="n">
        <f aca="false">IF(ISNUMBER(J8),'ورودی و مقایسه'!$K$7+INT(J8/12),"")</f>
        <v>1405</v>
      </c>
      <c r="L8" s="20" t="n">
        <f aca="false">IF(ISNUMBER(J8),MOD(J8,12)+1,"")</f>
        <v>9</v>
      </c>
      <c r="M8" s="20" t="n">
        <f aca="false">IF(NOT(ISNUMBER(J8)),"",IFERROR(IF(OR(K8&lt;1390,K8&gt;1429),"",MIN('ورودی و مقایسه'!$M$7,IF(L8&lt;=6,31,IF(L8&lt;=11,30,VLOOKUP(K8+1,تقویم!$A$2:$B$42,2,0)-VLOOKUP(K8,تقویم!$A$2:$B$42,2,0)-336)))),""))</f>
        <v>5</v>
      </c>
    </row>
    <row r="9" customFormat="false" ht="15" hidden="false" customHeight="true" outlineLevel="0" collapsed="false">
      <c r="A9" s="26" t="n">
        <f aca="false">IF('ورودی و مقایسه'!$B$14="آماده",IF(2&lt;='ورودی و مقایسه'!$B$6,2,""),"")</f>
        <v>2</v>
      </c>
      <c r="B9" s="26" t="str">
        <f aca="false">IF(LEN(A9&amp;"")=0,"",IF(ISNUMBER(M9),K9&amp;"/"&amp;TEXT(L9,"00")&amp;"/"&amp;TEXT(M9,"00"),"تاریخ خارج از بازه"))</f>
        <v>1405/10/05</v>
      </c>
      <c r="C9" s="27" t="n">
        <f aca="false">IF(A9="","",G8)</f>
        <v>91666667</v>
      </c>
      <c r="D9" s="27" t="n">
        <f aca="false">IF(A9="","",ROUND(C9*'ورودی و مقایسه'!$B$5/12,0))</f>
        <v>1375000</v>
      </c>
      <c r="E9" s="27" t="n">
        <f aca="false">IF(LEN(A9&amp;"")=0,"",IF(A9='ورودی و مقایسه'!$B$6,C9,MAX(0,MIN(C9,$C$4))))</f>
        <v>8333333</v>
      </c>
      <c r="F9" s="27" t="n">
        <f aca="false">IF(A9="","",D9+E9)</f>
        <v>9708333</v>
      </c>
      <c r="G9" s="27" t="n">
        <f aca="false">IF(A9="","",C9-E9)</f>
        <v>83333334</v>
      </c>
      <c r="J9" s="20" t="n">
        <f aca="false">IF(AND('ورودی و مقایسه'!$B$14="آماده",ISNUMBER('ورودی و مقایسه'!$N$7)),('ورودی و مقایسه'!$L$7-1)+1,"")</f>
        <v>9</v>
      </c>
      <c r="K9" s="20" t="n">
        <f aca="false">IF(ISNUMBER(J9),'ورودی و مقایسه'!$K$7+INT(J9/12),"")</f>
        <v>1405</v>
      </c>
      <c r="L9" s="20" t="n">
        <f aca="false">IF(ISNUMBER(J9),MOD(J9,12)+1,"")</f>
        <v>10</v>
      </c>
      <c r="M9" s="20" t="n">
        <f aca="false">IF(NOT(ISNUMBER(J9)),"",IFERROR(IF(OR(K9&lt;1390,K9&gt;1429),"",MIN('ورودی و مقایسه'!$M$7,IF(L9&lt;=6,31,IF(L9&lt;=11,30,VLOOKUP(K9+1,تقویم!$A$2:$B$42,2,0)-VLOOKUP(K9,تقویم!$A$2:$B$42,2,0)-336)))),""))</f>
        <v>5</v>
      </c>
    </row>
    <row r="10" customFormat="false" ht="15" hidden="false" customHeight="true" outlineLevel="0" collapsed="false">
      <c r="A10" s="24" t="n">
        <f aca="false">IF('ورودی و مقایسه'!$B$14="آماده",IF(3&lt;='ورودی و مقایسه'!$B$6,3,""),"")</f>
        <v>3</v>
      </c>
      <c r="B10" s="24" t="str">
        <f aca="false">IF(LEN(A10&amp;"")=0,"",IF(ISNUMBER(M10),K10&amp;"/"&amp;TEXT(L10,"00")&amp;"/"&amp;TEXT(M10,"00"),"تاریخ خارج از بازه"))</f>
        <v>1405/11/05</v>
      </c>
      <c r="C10" s="25" t="n">
        <f aca="false">IF(A10="","",G9)</f>
        <v>83333334</v>
      </c>
      <c r="D10" s="25" t="n">
        <f aca="false">IF(A10="","",ROUND(C10*'ورودی و مقایسه'!$B$5/12,0))</f>
        <v>1250000</v>
      </c>
      <c r="E10" s="25" t="n">
        <f aca="false">IF(LEN(A10&amp;"")=0,"",IF(A10='ورودی و مقایسه'!$B$6,C10,MAX(0,MIN(C10,$C$4))))</f>
        <v>8333333</v>
      </c>
      <c r="F10" s="25" t="n">
        <f aca="false">IF(A10="","",D10+E10)</f>
        <v>9583333</v>
      </c>
      <c r="G10" s="25" t="n">
        <f aca="false">IF(A10="","",C10-E10)</f>
        <v>75000001</v>
      </c>
      <c r="J10" s="20" t="n">
        <f aca="false">IF(AND('ورودی و مقایسه'!$B$14="آماده",ISNUMBER('ورودی و مقایسه'!$N$7)),('ورودی و مقایسه'!$L$7-1)+2,"")</f>
        <v>10</v>
      </c>
      <c r="K10" s="20" t="n">
        <f aca="false">IF(ISNUMBER(J10),'ورودی و مقایسه'!$K$7+INT(J10/12),"")</f>
        <v>1405</v>
      </c>
      <c r="L10" s="20" t="n">
        <f aca="false">IF(ISNUMBER(J10),MOD(J10,12)+1,"")</f>
        <v>11</v>
      </c>
      <c r="M10" s="20" t="n">
        <f aca="false">IF(NOT(ISNUMBER(J10)),"",IFERROR(IF(OR(K10&lt;1390,K10&gt;1429),"",MIN('ورودی و مقایسه'!$M$7,IF(L10&lt;=6,31,IF(L10&lt;=11,30,VLOOKUP(K10+1,تقویم!$A$2:$B$42,2,0)-VLOOKUP(K10,تقویم!$A$2:$B$42,2,0)-336)))),""))</f>
        <v>5</v>
      </c>
    </row>
    <row r="11" customFormat="false" ht="15" hidden="false" customHeight="true" outlineLevel="0" collapsed="false">
      <c r="A11" s="26" t="n">
        <f aca="false">IF('ورودی و مقایسه'!$B$14="آماده",IF(4&lt;='ورودی و مقایسه'!$B$6,4,""),"")</f>
        <v>4</v>
      </c>
      <c r="B11" s="26" t="str">
        <f aca="false">IF(LEN(A11&amp;"")=0,"",IF(ISNUMBER(M11),K11&amp;"/"&amp;TEXT(L11,"00")&amp;"/"&amp;TEXT(M11,"00"),"تاریخ خارج از بازه"))</f>
        <v>1405/12/05</v>
      </c>
      <c r="C11" s="27" t="n">
        <f aca="false">IF(A11="","",G10)</f>
        <v>75000001</v>
      </c>
      <c r="D11" s="27" t="n">
        <f aca="false">IF(A11="","",ROUND(C11*'ورودی و مقایسه'!$B$5/12,0))</f>
        <v>1125000</v>
      </c>
      <c r="E11" s="27" t="n">
        <f aca="false">IF(LEN(A11&amp;"")=0,"",IF(A11='ورودی و مقایسه'!$B$6,C11,MAX(0,MIN(C11,$C$4))))</f>
        <v>8333333</v>
      </c>
      <c r="F11" s="27" t="n">
        <f aca="false">IF(A11="","",D11+E11)</f>
        <v>9458333</v>
      </c>
      <c r="G11" s="27" t="n">
        <f aca="false">IF(A11="","",C11-E11)</f>
        <v>66666668</v>
      </c>
      <c r="J11" s="20" t="n">
        <f aca="false">IF(AND('ورودی و مقایسه'!$B$14="آماده",ISNUMBER('ورودی و مقایسه'!$N$7)),('ورودی و مقایسه'!$L$7-1)+3,"")</f>
        <v>11</v>
      </c>
      <c r="K11" s="20" t="n">
        <f aca="false">IF(ISNUMBER(J11),'ورودی و مقایسه'!$K$7+INT(J11/12),"")</f>
        <v>1405</v>
      </c>
      <c r="L11" s="20" t="n">
        <f aca="false">IF(ISNUMBER(J11),MOD(J11,12)+1,"")</f>
        <v>12</v>
      </c>
      <c r="M11" s="20" t="n">
        <f aca="false">IF(NOT(ISNUMBER(J11)),"",IFERROR(IF(OR(K11&lt;1390,K11&gt;1429),"",MIN('ورودی و مقایسه'!$M$7,IF(L11&lt;=6,31,IF(L11&lt;=11,30,VLOOKUP(K11+1,تقویم!$A$2:$B$42,2,0)-VLOOKUP(K11,تقویم!$A$2:$B$42,2,0)-336)))),""))</f>
        <v>5</v>
      </c>
    </row>
    <row r="12" customFormat="false" ht="15" hidden="false" customHeight="true" outlineLevel="0" collapsed="false">
      <c r="A12" s="24" t="n">
        <f aca="false">IF('ورودی و مقایسه'!$B$14="آماده",IF(5&lt;='ورودی و مقایسه'!$B$6,5,""),"")</f>
        <v>5</v>
      </c>
      <c r="B12" s="24" t="str">
        <f aca="false">IF(LEN(A12&amp;"")=0,"",IF(ISNUMBER(M12),K12&amp;"/"&amp;TEXT(L12,"00")&amp;"/"&amp;TEXT(M12,"00"),"تاریخ خارج از بازه"))</f>
        <v>1406/01/05</v>
      </c>
      <c r="C12" s="25" t="n">
        <f aca="false">IF(A12="","",G11)</f>
        <v>66666668</v>
      </c>
      <c r="D12" s="25" t="n">
        <f aca="false">IF(A12="","",ROUND(C12*'ورودی و مقایسه'!$B$5/12,0))</f>
        <v>1000000</v>
      </c>
      <c r="E12" s="25" t="n">
        <f aca="false">IF(LEN(A12&amp;"")=0,"",IF(A12='ورودی و مقایسه'!$B$6,C12,MAX(0,MIN(C12,$C$4))))</f>
        <v>8333333</v>
      </c>
      <c r="F12" s="25" t="n">
        <f aca="false">IF(A12="","",D12+E12)</f>
        <v>9333333</v>
      </c>
      <c r="G12" s="25" t="n">
        <f aca="false">IF(A12="","",C12-E12)</f>
        <v>58333335</v>
      </c>
      <c r="J12" s="20" t="n">
        <f aca="false">IF(AND('ورودی و مقایسه'!$B$14="آماده",ISNUMBER('ورودی و مقایسه'!$N$7)),('ورودی و مقایسه'!$L$7-1)+4,"")</f>
        <v>12</v>
      </c>
      <c r="K12" s="20" t="n">
        <f aca="false">IF(ISNUMBER(J12),'ورودی و مقایسه'!$K$7+INT(J12/12),"")</f>
        <v>1406</v>
      </c>
      <c r="L12" s="20" t="n">
        <f aca="false">IF(ISNUMBER(J12),MOD(J12,12)+1,"")</f>
        <v>1</v>
      </c>
      <c r="M12" s="20" t="n">
        <f aca="false">IF(NOT(ISNUMBER(J12)),"",IFERROR(IF(OR(K12&lt;1390,K12&gt;1429),"",MIN('ورودی و مقایسه'!$M$7,IF(L12&lt;=6,31,IF(L12&lt;=11,30,VLOOKUP(K12+1,تقویم!$A$2:$B$42,2,0)-VLOOKUP(K12,تقویم!$A$2:$B$42,2,0)-336)))),""))</f>
        <v>5</v>
      </c>
    </row>
    <row r="13" customFormat="false" ht="15" hidden="false" customHeight="true" outlineLevel="0" collapsed="false">
      <c r="A13" s="26" t="n">
        <f aca="false">IF('ورودی و مقایسه'!$B$14="آماده",IF(6&lt;='ورودی و مقایسه'!$B$6,6,""),"")</f>
        <v>6</v>
      </c>
      <c r="B13" s="26" t="str">
        <f aca="false">IF(LEN(A13&amp;"")=0,"",IF(ISNUMBER(M13),K13&amp;"/"&amp;TEXT(L13,"00")&amp;"/"&amp;TEXT(M13,"00"),"تاریخ خارج از بازه"))</f>
        <v>1406/02/05</v>
      </c>
      <c r="C13" s="27" t="n">
        <f aca="false">IF(A13="","",G12)</f>
        <v>58333335</v>
      </c>
      <c r="D13" s="27" t="n">
        <f aca="false">IF(A13="","",ROUND(C13*'ورودی و مقایسه'!$B$5/12,0))</f>
        <v>875000</v>
      </c>
      <c r="E13" s="27" t="n">
        <f aca="false">IF(LEN(A13&amp;"")=0,"",IF(A13='ورودی و مقایسه'!$B$6,C13,MAX(0,MIN(C13,$C$4))))</f>
        <v>8333333</v>
      </c>
      <c r="F13" s="27" t="n">
        <f aca="false">IF(A13="","",D13+E13)</f>
        <v>9208333</v>
      </c>
      <c r="G13" s="27" t="n">
        <f aca="false">IF(A13="","",C13-E13)</f>
        <v>50000002</v>
      </c>
      <c r="J13" s="20" t="n">
        <f aca="false">IF(AND('ورودی و مقایسه'!$B$14="آماده",ISNUMBER('ورودی و مقایسه'!$N$7)),('ورودی و مقایسه'!$L$7-1)+5,"")</f>
        <v>13</v>
      </c>
      <c r="K13" s="20" t="n">
        <f aca="false">IF(ISNUMBER(J13),'ورودی و مقایسه'!$K$7+INT(J13/12),"")</f>
        <v>1406</v>
      </c>
      <c r="L13" s="20" t="n">
        <f aca="false">IF(ISNUMBER(J13),MOD(J13,12)+1,"")</f>
        <v>2</v>
      </c>
      <c r="M13" s="20" t="n">
        <f aca="false">IF(NOT(ISNUMBER(J13)),"",IFERROR(IF(OR(K13&lt;1390,K13&gt;1429),"",MIN('ورودی و مقایسه'!$M$7,IF(L13&lt;=6,31,IF(L13&lt;=11,30,VLOOKUP(K13+1,تقویم!$A$2:$B$42,2,0)-VLOOKUP(K13,تقویم!$A$2:$B$42,2,0)-336)))),""))</f>
        <v>5</v>
      </c>
    </row>
    <row r="14" customFormat="false" ht="15" hidden="false" customHeight="true" outlineLevel="0" collapsed="false">
      <c r="A14" s="24" t="n">
        <f aca="false">IF('ورودی و مقایسه'!$B$14="آماده",IF(7&lt;='ورودی و مقایسه'!$B$6,7,""),"")</f>
        <v>7</v>
      </c>
      <c r="B14" s="24" t="str">
        <f aca="false">IF(LEN(A14&amp;"")=0,"",IF(ISNUMBER(M14),K14&amp;"/"&amp;TEXT(L14,"00")&amp;"/"&amp;TEXT(M14,"00"),"تاریخ خارج از بازه"))</f>
        <v>1406/03/05</v>
      </c>
      <c r="C14" s="25" t="n">
        <f aca="false">IF(A14="","",G13)</f>
        <v>50000002</v>
      </c>
      <c r="D14" s="25" t="n">
        <f aca="false">IF(A14="","",ROUND(C14*'ورودی و مقایسه'!$B$5/12,0))</f>
        <v>750000</v>
      </c>
      <c r="E14" s="25" t="n">
        <f aca="false">IF(LEN(A14&amp;"")=0,"",IF(A14='ورودی و مقایسه'!$B$6,C14,MAX(0,MIN(C14,$C$4))))</f>
        <v>8333333</v>
      </c>
      <c r="F14" s="25" t="n">
        <f aca="false">IF(A14="","",D14+E14)</f>
        <v>9083333</v>
      </c>
      <c r="G14" s="25" t="n">
        <f aca="false">IF(A14="","",C14-E14)</f>
        <v>41666669</v>
      </c>
      <c r="J14" s="20" t="n">
        <f aca="false">IF(AND('ورودی و مقایسه'!$B$14="آماده",ISNUMBER('ورودی و مقایسه'!$N$7)),('ورودی و مقایسه'!$L$7-1)+6,"")</f>
        <v>14</v>
      </c>
      <c r="K14" s="20" t="n">
        <f aca="false">IF(ISNUMBER(J14),'ورودی و مقایسه'!$K$7+INT(J14/12),"")</f>
        <v>1406</v>
      </c>
      <c r="L14" s="20" t="n">
        <f aca="false">IF(ISNUMBER(J14),MOD(J14,12)+1,"")</f>
        <v>3</v>
      </c>
      <c r="M14" s="20" t="n">
        <f aca="false">IF(NOT(ISNUMBER(J14)),"",IFERROR(IF(OR(K14&lt;1390,K14&gt;1429),"",MIN('ورودی و مقایسه'!$M$7,IF(L14&lt;=6,31,IF(L14&lt;=11,30,VLOOKUP(K14+1,تقویم!$A$2:$B$42,2,0)-VLOOKUP(K14,تقویم!$A$2:$B$42,2,0)-336)))),""))</f>
        <v>5</v>
      </c>
    </row>
    <row r="15" customFormat="false" ht="15" hidden="false" customHeight="true" outlineLevel="0" collapsed="false">
      <c r="A15" s="26" t="n">
        <f aca="false">IF('ورودی و مقایسه'!$B$14="آماده",IF(8&lt;='ورودی و مقایسه'!$B$6,8,""),"")</f>
        <v>8</v>
      </c>
      <c r="B15" s="26" t="str">
        <f aca="false">IF(LEN(A15&amp;"")=0,"",IF(ISNUMBER(M15),K15&amp;"/"&amp;TEXT(L15,"00")&amp;"/"&amp;TEXT(M15,"00"),"تاریخ خارج از بازه"))</f>
        <v>1406/04/05</v>
      </c>
      <c r="C15" s="27" t="n">
        <f aca="false">IF(A15="","",G14)</f>
        <v>41666669</v>
      </c>
      <c r="D15" s="27" t="n">
        <f aca="false">IF(A15="","",ROUND(C15*'ورودی و مقایسه'!$B$5/12,0))</f>
        <v>625000</v>
      </c>
      <c r="E15" s="27" t="n">
        <f aca="false">IF(LEN(A15&amp;"")=0,"",IF(A15='ورودی و مقایسه'!$B$6,C15,MAX(0,MIN(C15,$C$4))))</f>
        <v>8333333</v>
      </c>
      <c r="F15" s="27" t="n">
        <f aca="false">IF(A15="","",D15+E15)</f>
        <v>8958333</v>
      </c>
      <c r="G15" s="27" t="n">
        <f aca="false">IF(A15="","",C15-E15)</f>
        <v>33333336</v>
      </c>
      <c r="J15" s="20" t="n">
        <f aca="false">IF(AND('ورودی و مقایسه'!$B$14="آماده",ISNUMBER('ورودی و مقایسه'!$N$7)),('ورودی و مقایسه'!$L$7-1)+7,"")</f>
        <v>15</v>
      </c>
      <c r="K15" s="20" t="n">
        <f aca="false">IF(ISNUMBER(J15),'ورودی و مقایسه'!$K$7+INT(J15/12),"")</f>
        <v>1406</v>
      </c>
      <c r="L15" s="20" t="n">
        <f aca="false">IF(ISNUMBER(J15),MOD(J15,12)+1,"")</f>
        <v>4</v>
      </c>
      <c r="M15" s="20" t="n">
        <f aca="false">IF(NOT(ISNUMBER(J15)),"",IFERROR(IF(OR(K15&lt;1390,K15&gt;1429),"",MIN('ورودی و مقایسه'!$M$7,IF(L15&lt;=6,31,IF(L15&lt;=11,30,VLOOKUP(K15+1,تقویم!$A$2:$B$42,2,0)-VLOOKUP(K15,تقویم!$A$2:$B$42,2,0)-336)))),""))</f>
        <v>5</v>
      </c>
    </row>
    <row r="16" customFormat="false" ht="15" hidden="false" customHeight="true" outlineLevel="0" collapsed="false">
      <c r="A16" s="24" t="n">
        <f aca="false">IF('ورودی و مقایسه'!$B$14="آماده",IF(9&lt;='ورودی و مقایسه'!$B$6,9,""),"")</f>
        <v>9</v>
      </c>
      <c r="B16" s="24" t="str">
        <f aca="false">IF(LEN(A16&amp;"")=0,"",IF(ISNUMBER(M16),K16&amp;"/"&amp;TEXT(L16,"00")&amp;"/"&amp;TEXT(M16,"00"),"تاریخ خارج از بازه"))</f>
        <v>1406/05/05</v>
      </c>
      <c r="C16" s="25" t="n">
        <f aca="false">IF(A16="","",G15)</f>
        <v>33333336</v>
      </c>
      <c r="D16" s="25" t="n">
        <f aca="false">IF(A16="","",ROUND(C16*'ورودی و مقایسه'!$B$5/12,0))</f>
        <v>500000</v>
      </c>
      <c r="E16" s="25" t="n">
        <f aca="false">IF(LEN(A16&amp;"")=0,"",IF(A16='ورودی و مقایسه'!$B$6,C16,MAX(0,MIN(C16,$C$4))))</f>
        <v>8333333</v>
      </c>
      <c r="F16" s="25" t="n">
        <f aca="false">IF(A16="","",D16+E16)</f>
        <v>8833333</v>
      </c>
      <c r="G16" s="25" t="n">
        <f aca="false">IF(A16="","",C16-E16)</f>
        <v>25000003</v>
      </c>
      <c r="J16" s="20" t="n">
        <f aca="false">IF(AND('ورودی و مقایسه'!$B$14="آماده",ISNUMBER('ورودی و مقایسه'!$N$7)),('ورودی و مقایسه'!$L$7-1)+8,"")</f>
        <v>16</v>
      </c>
      <c r="K16" s="20" t="n">
        <f aca="false">IF(ISNUMBER(J16),'ورودی و مقایسه'!$K$7+INT(J16/12),"")</f>
        <v>1406</v>
      </c>
      <c r="L16" s="20" t="n">
        <f aca="false">IF(ISNUMBER(J16),MOD(J16,12)+1,"")</f>
        <v>5</v>
      </c>
      <c r="M16" s="20" t="n">
        <f aca="false">IF(NOT(ISNUMBER(J16)),"",IFERROR(IF(OR(K16&lt;1390,K16&gt;1429),"",MIN('ورودی و مقایسه'!$M$7,IF(L16&lt;=6,31,IF(L16&lt;=11,30,VLOOKUP(K16+1,تقویم!$A$2:$B$42,2,0)-VLOOKUP(K16,تقویم!$A$2:$B$42,2,0)-336)))),""))</f>
        <v>5</v>
      </c>
    </row>
    <row r="17" customFormat="false" ht="15" hidden="false" customHeight="true" outlineLevel="0" collapsed="false">
      <c r="A17" s="26" t="n">
        <f aca="false">IF('ورودی و مقایسه'!$B$14="آماده",IF(10&lt;='ورودی و مقایسه'!$B$6,10,""),"")</f>
        <v>10</v>
      </c>
      <c r="B17" s="26" t="str">
        <f aca="false">IF(LEN(A17&amp;"")=0,"",IF(ISNUMBER(M17),K17&amp;"/"&amp;TEXT(L17,"00")&amp;"/"&amp;TEXT(M17,"00"),"تاریخ خارج از بازه"))</f>
        <v>1406/06/05</v>
      </c>
      <c r="C17" s="27" t="n">
        <f aca="false">IF(A17="","",G16)</f>
        <v>25000003</v>
      </c>
      <c r="D17" s="27" t="n">
        <f aca="false">IF(A17="","",ROUND(C17*'ورودی و مقایسه'!$B$5/12,0))</f>
        <v>375000</v>
      </c>
      <c r="E17" s="27" t="n">
        <f aca="false">IF(LEN(A17&amp;"")=0,"",IF(A17='ورودی و مقایسه'!$B$6,C17,MAX(0,MIN(C17,$C$4))))</f>
        <v>8333333</v>
      </c>
      <c r="F17" s="27" t="n">
        <f aca="false">IF(A17="","",D17+E17)</f>
        <v>8708333</v>
      </c>
      <c r="G17" s="27" t="n">
        <f aca="false">IF(A17="","",C17-E17)</f>
        <v>16666670</v>
      </c>
      <c r="J17" s="20" t="n">
        <f aca="false">IF(AND('ورودی و مقایسه'!$B$14="آماده",ISNUMBER('ورودی و مقایسه'!$N$7)),('ورودی و مقایسه'!$L$7-1)+9,"")</f>
        <v>17</v>
      </c>
      <c r="K17" s="20" t="n">
        <f aca="false">IF(ISNUMBER(J17),'ورودی و مقایسه'!$K$7+INT(J17/12),"")</f>
        <v>1406</v>
      </c>
      <c r="L17" s="20" t="n">
        <f aca="false">IF(ISNUMBER(J17),MOD(J17,12)+1,"")</f>
        <v>6</v>
      </c>
      <c r="M17" s="20" t="n">
        <f aca="false">IF(NOT(ISNUMBER(J17)),"",IFERROR(IF(OR(K17&lt;1390,K17&gt;1429),"",MIN('ورودی و مقایسه'!$M$7,IF(L17&lt;=6,31,IF(L17&lt;=11,30,VLOOKUP(K17+1,تقویم!$A$2:$B$42,2,0)-VLOOKUP(K17,تقویم!$A$2:$B$42,2,0)-336)))),""))</f>
        <v>5</v>
      </c>
    </row>
    <row r="18" customFormat="false" ht="15" hidden="false" customHeight="true" outlineLevel="0" collapsed="false">
      <c r="A18" s="24" t="n">
        <f aca="false">IF('ورودی و مقایسه'!$B$14="آماده",IF(11&lt;='ورودی و مقایسه'!$B$6,11,""),"")</f>
        <v>11</v>
      </c>
      <c r="B18" s="24" t="str">
        <f aca="false">IF(LEN(A18&amp;"")=0,"",IF(ISNUMBER(M18),K18&amp;"/"&amp;TEXT(L18,"00")&amp;"/"&amp;TEXT(M18,"00"),"تاریخ خارج از بازه"))</f>
        <v>1406/07/05</v>
      </c>
      <c r="C18" s="25" t="n">
        <f aca="false">IF(A18="","",G17)</f>
        <v>16666670</v>
      </c>
      <c r="D18" s="25" t="n">
        <f aca="false">IF(A18="","",ROUND(C18*'ورودی و مقایسه'!$B$5/12,0))</f>
        <v>250000</v>
      </c>
      <c r="E18" s="25" t="n">
        <f aca="false">IF(LEN(A18&amp;"")=0,"",IF(A18='ورودی و مقایسه'!$B$6,C18,MAX(0,MIN(C18,$C$4))))</f>
        <v>8333333</v>
      </c>
      <c r="F18" s="25" t="n">
        <f aca="false">IF(A18="","",D18+E18)</f>
        <v>8583333</v>
      </c>
      <c r="G18" s="25" t="n">
        <f aca="false">IF(A18="","",C18-E18)</f>
        <v>8333337</v>
      </c>
      <c r="J18" s="20" t="n">
        <f aca="false">IF(AND('ورودی و مقایسه'!$B$14="آماده",ISNUMBER('ورودی و مقایسه'!$N$7)),('ورودی و مقایسه'!$L$7-1)+10,"")</f>
        <v>18</v>
      </c>
      <c r="K18" s="20" t="n">
        <f aca="false">IF(ISNUMBER(J18),'ورودی و مقایسه'!$K$7+INT(J18/12),"")</f>
        <v>1406</v>
      </c>
      <c r="L18" s="20" t="n">
        <f aca="false">IF(ISNUMBER(J18),MOD(J18,12)+1,"")</f>
        <v>7</v>
      </c>
      <c r="M18" s="20" t="n">
        <f aca="false">IF(NOT(ISNUMBER(J18)),"",IFERROR(IF(OR(K18&lt;1390,K18&gt;1429),"",MIN('ورودی و مقایسه'!$M$7,IF(L18&lt;=6,31,IF(L18&lt;=11,30,VLOOKUP(K18+1,تقویم!$A$2:$B$42,2,0)-VLOOKUP(K18,تقویم!$A$2:$B$42,2,0)-336)))),""))</f>
        <v>5</v>
      </c>
    </row>
    <row r="19" customFormat="false" ht="15" hidden="false" customHeight="true" outlineLevel="0" collapsed="false">
      <c r="A19" s="26" t="n">
        <f aca="false">IF('ورودی و مقایسه'!$B$14="آماده",IF(12&lt;='ورودی و مقایسه'!$B$6,12,""),"")</f>
        <v>12</v>
      </c>
      <c r="B19" s="26" t="str">
        <f aca="false">IF(LEN(A19&amp;"")=0,"",IF(ISNUMBER(M19),K19&amp;"/"&amp;TEXT(L19,"00")&amp;"/"&amp;TEXT(M19,"00"),"تاریخ خارج از بازه"))</f>
        <v>1406/08/05</v>
      </c>
      <c r="C19" s="27" t="n">
        <f aca="false">IF(A19="","",G18)</f>
        <v>8333337</v>
      </c>
      <c r="D19" s="27" t="n">
        <f aca="false">IF(A19="","",ROUND(C19*'ورودی و مقایسه'!$B$5/12,0))</f>
        <v>125000</v>
      </c>
      <c r="E19" s="27" t="n">
        <f aca="false">IF(LEN(A19&amp;"")=0,"",IF(A19='ورودی و مقایسه'!$B$6,C19,MAX(0,MIN(C19,$C$4))))</f>
        <v>8333337</v>
      </c>
      <c r="F19" s="27" t="n">
        <f aca="false">IF(A19="","",D19+E19)</f>
        <v>8458337</v>
      </c>
      <c r="G19" s="27" t="n">
        <f aca="false">IF(A19="","",C19-E19)</f>
        <v>0</v>
      </c>
      <c r="J19" s="20" t="n">
        <f aca="false">IF(AND('ورودی و مقایسه'!$B$14="آماده",ISNUMBER('ورودی و مقایسه'!$N$7)),('ورودی و مقایسه'!$L$7-1)+11,"")</f>
        <v>19</v>
      </c>
      <c r="K19" s="20" t="n">
        <f aca="false">IF(ISNUMBER(J19),'ورودی و مقایسه'!$K$7+INT(J19/12),"")</f>
        <v>1406</v>
      </c>
      <c r="L19" s="20" t="n">
        <f aca="false">IF(ISNUMBER(J19),MOD(J19,12)+1,"")</f>
        <v>8</v>
      </c>
      <c r="M19" s="20" t="n">
        <f aca="false">IF(NOT(ISNUMBER(J19)),"",IFERROR(IF(OR(K19&lt;1390,K19&gt;1429),"",MIN('ورودی و مقایسه'!$M$7,IF(L19&lt;=6,31,IF(L19&lt;=11,30,VLOOKUP(K19+1,تقویم!$A$2:$B$42,2,0)-VLOOKUP(K19,تقویم!$A$2:$B$42,2,0)-336)))),""))</f>
        <v>5</v>
      </c>
    </row>
    <row r="20" customFormat="false" ht="15" hidden="false" customHeight="true" outlineLevel="0" collapsed="false">
      <c r="A20" s="24" t="str">
        <f aca="false">IF('ورودی و مقایسه'!$B$14="آماده",IF(13&lt;='ورودی و مقایسه'!$B$6,13,""),"")</f>
        <v/>
      </c>
      <c r="B20" s="24" t="str">
        <f aca="false">IF(LEN(A20&amp;"")=0,"",IF(ISNUMBER(M20),K20&amp;"/"&amp;TEXT(L20,"00")&amp;"/"&amp;TEXT(M20,"00"),"تاریخ خارج از بازه"))</f>
        <v/>
      </c>
      <c r="C20" s="25" t="str">
        <f aca="false">IF(A20="","",G19)</f>
        <v/>
      </c>
      <c r="D20" s="25" t="str">
        <f aca="false">IF(A20="","",ROUND(C20*'ورودی و مقایسه'!$B$5/12,0))</f>
        <v/>
      </c>
      <c r="E20" s="25" t="str">
        <f aca="false">IF(LEN(A20&amp;"")=0,"",IF(A20='ورودی و مقایسه'!$B$6,C20,MAX(0,MIN(C20,$C$4))))</f>
        <v/>
      </c>
      <c r="F20" s="25" t="str">
        <f aca="false">IF(A20="","",D20+E20)</f>
        <v/>
      </c>
      <c r="G20" s="25" t="str">
        <f aca="false">IF(A20="","",C20-E20)</f>
        <v/>
      </c>
      <c r="J20" s="20" t="n">
        <f aca="false">IF(AND('ورودی و مقایسه'!$B$14="آماده",ISNUMBER('ورودی و مقایسه'!$N$7)),('ورودی و مقایسه'!$L$7-1)+12,"")</f>
        <v>20</v>
      </c>
      <c r="K20" s="20" t="n">
        <f aca="false">IF(ISNUMBER(J20),'ورودی و مقایسه'!$K$7+INT(J20/12),"")</f>
        <v>1406</v>
      </c>
      <c r="L20" s="20" t="n">
        <f aca="false">IF(ISNUMBER(J20),MOD(J20,12)+1,"")</f>
        <v>9</v>
      </c>
      <c r="M20" s="20" t="n">
        <f aca="false">IF(NOT(ISNUMBER(J20)),"",IFERROR(IF(OR(K20&lt;1390,K20&gt;1429),"",MIN('ورودی و مقایسه'!$M$7,IF(L20&lt;=6,31,IF(L20&lt;=11,30,VLOOKUP(K20+1,تقویم!$A$2:$B$42,2,0)-VLOOKUP(K20,تقویم!$A$2:$B$42,2,0)-336)))),""))</f>
        <v>5</v>
      </c>
    </row>
    <row r="21" customFormat="false" ht="15" hidden="false" customHeight="true" outlineLevel="0" collapsed="false">
      <c r="A21" s="26" t="str">
        <f aca="false">IF('ورودی و مقایسه'!$B$14="آماده",IF(14&lt;='ورودی و مقایسه'!$B$6,14,""),"")</f>
        <v/>
      </c>
      <c r="B21" s="26" t="str">
        <f aca="false">IF(LEN(A21&amp;"")=0,"",IF(ISNUMBER(M21),K21&amp;"/"&amp;TEXT(L21,"00")&amp;"/"&amp;TEXT(M21,"00"),"تاریخ خارج از بازه"))</f>
        <v/>
      </c>
      <c r="C21" s="27" t="str">
        <f aca="false">IF(A21="","",G20)</f>
        <v/>
      </c>
      <c r="D21" s="27" t="str">
        <f aca="false">IF(A21="","",ROUND(C21*'ورودی و مقایسه'!$B$5/12,0))</f>
        <v/>
      </c>
      <c r="E21" s="27" t="str">
        <f aca="false">IF(LEN(A21&amp;"")=0,"",IF(A21='ورودی و مقایسه'!$B$6,C21,MAX(0,MIN(C21,$C$4))))</f>
        <v/>
      </c>
      <c r="F21" s="27" t="str">
        <f aca="false">IF(A21="","",D21+E21)</f>
        <v/>
      </c>
      <c r="G21" s="27" t="str">
        <f aca="false">IF(A21="","",C21-E21)</f>
        <v/>
      </c>
      <c r="J21" s="20" t="n">
        <f aca="false">IF(AND('ورودی و مقایسه'!$B$14="آماده",ISNUMBER('ورودی و مقایسه'!$N$7)),('ورودی و مقایسه'!$L$7-1)+13,"")</f>
        <v>21</v>
      </c>
      <c r="K21" s="20" t="n">
        <f aca="false">IF(ISNUMBER(J21),'ورودی و مقایسه'!$K$7+INT(J21/12),"")</f>
        <v>1406</v>
      </c>
      <c r="L21" s="20" t="n">
        <f aca="false">IF(ISNUMBER(J21),MOD(J21,12)+1,"")</f>
        <v>10</v>
      </c>
      <c r="M21" s="20" t="n">
        <f aca="false">IF(NOT(ISNUMBER(J21)),"",IFERROR(IF(OR(K21&lt;1390,K21&gt;1429),"",MIN('ورودی و مقایسه'!$M$7,IF(L21&lt;=6,31,IF(L21&lt;=11,30,VLOOKUP(K21+1,تقویم!$A$2:$B$42,2,0)-VLOOKUP(K21,تقویم!$A$2:$B$42,2,0)-336)))),""))</f>
        <v>5</v>
      </c>
    </row>
    <row r="22" customFormat="false" ht="15" hidden="false" customHeight="true" outlineLevel="0" collapsed="false">
      <c r="A22" s="24" t="str">
        <f aca="false">IF('ورودی و مقایسه'!$B$14="آماده",IF(15&lt;='ورودی و مقایسه'!$B$6,15,""),"")</f>
        <v/>
      </c>
      <c r="B22" s="24" t="str">
        <f aca="false">IF(LEN(A22&amp;"")=0,"",IF(ISNUMBER(M22),K22&amp;"/"&amp;TEXT(L22,"00")&amp;"/"&amp;TEXT(M22,"00"),"تاریخ خارج از بازه"))</f>
        <v/>
      </c>
      <c r="C22" s="25" t="str">
        <f aca="false">IF(A22="","",G21)</f>
        <v/>
      </c>
      <c r="D22" s="25" t="str">
        <f aca="false">IF(A22="","",ROUND(C22*'ورودی و مقایسه'!$B$5/12,0))</f>
        <v/>
      </c>
      <c r="E22" s="25" t="str">
        <f aca="false">IF(LEN(A22&amp;"")=0,"",IF(A22='ورودی و مقایسه'!$B$6,C22,MAX(0,MIN(C22,$C$4))))</f>
        <v/>
      </c>
      <c r="F22" s="25" t="str">
        <f aca="false">IF(A22="","",D22+E22)</f>
        <v/>
      </c>
      <c r="G22" s="25" t="str">
        <f aca="false">IF(A22="","",C22-E22)</f>
        <v/>
      </c>
      <c r="J22" s="20" t="n">
        <f aca="false">IF(AND('ورودی و مقایسه'!$B$14="آماده",ISNUMBER('ورودی و مقایسه'!$N$7)),('ورودی و مقایسه'!$L$7-1)+14,"")</f>
        <v>22</v>
      </c>
      <c r="K22" s="20" t="n">
        <f aca="false">IF(ISNUMBER(J22),'ورودی و مقایسه'!$K$7+INT(J22/12),"")</f>
        <v>1406</v>
      </c>
      <c r="L22" s="20" t="n">
        <f aca="false">IF(ISNUMBER(J22),MOD(J22,12)+1,"")</f>
        <v>11</v>
      </c>
      <c r="M22" s="20" t="n">
        <f aca="false">IF(NOT(ISNUMBER(J22)),"",IFERROR(IF(OR(K22&lt;1390,K22&gt;1429),"",MIN('ورودی و مقایسه'!$M$7,IF(L22&lt;=6,31,IF(L22&lt;=11,30,VLOOKUP(K22+1,تقویم!$A$2:$B$42,2,0)-VLOOKUP(K22,تقویم!$A$2:$B$42,2,0)-336)))),""))</f>
        <v>5</v>
      </c>
    </row>
    <row r="23" customFormat="false" ht="15" hidden="false" customHeight="true" outlineLevel="0" collapsed="false">
      <c r="A23" s="26" t="str">
        <f aca="false">IF('ورودی و مقایسه'!$B$14="آماده",IF(16&lt;='ورودی و مقایسه'!$B$6,16,""),"")</f>
        <v/>
      </c>
      <c r="B23" s="26" t="str">
        <f aca="false">IF(LEN(A23&amp;"")=0,"",IF(ISNUMBER(M23),K23&amp;"/"&amp;TEXT(L23,"00")&amp;"/"&amp;TEXT(M23,"00"),"تاریخ خارج از بازه"))</f>
        <v/>
      </c>
      <c r="C23" s="27" t="str">
        <f aca="false">IF(A23="","",G22)</f>
        <v/>
      </c>
      <c r="D23" s="27" t="str">
        <f aca="false">IF(A23="","",ROUND(C23*'ورودی و مقایسه'!$B$5/12,0))</f>
        <v/>
      </c>
      <c r="E23" s="27" t="str">
        <f aca="false">IF(LEN(A23&amp;"")=0,"",IF(A23='ورودی و مقایسه'!$B$6,C23,MAX(0,MIN(C23,$C$4))))</f>
        <v/>
      </c>
      <c r="F23" s="27" t="str">
        <f aca="false">IF(A23="","",D23+E23)</f>
        <v/>
      </c>
      <c r="G23" s="27" t="str">
        <f aca="false">IF(A23="","",C23-E23)</f>
        <v/>
      </c>
      <c r="J23" s="20" t="n">
        <f aca="false">IF(AND('ورودی و مقایسه'!$B$14="آماده",ISNUMBER('ورودی و مقایسه'!$N$7)),('ورودی و مقایسه'!$L$7-1)+15,"")</f>
        <v>23</v>
      </c>
      <c r="K23" s="20" t="n">
        <f aca="false">IF(ISNUMBER(J23),'ورودی و مقایسه'!$K$7+INT(J23/12),"")</f>
        <v>1406</v>
      </c>
      <c r="L23" s="20" t="n">
        <f aca="false">IF(ISNUMBER(J23),MOD(J23,12)+1,"")</f>
        <v>12</v>
      </c>
      <c r="M23" s="20" t="n">
        <f aca="false">IF(NOT(ISNUMBER(J23)),"",IFERROR(IF(OR(K23&lt;1390,K23&gt;1429),"",MIN('ورودی و مقایسه'!$M$7,IF(L23&lt;=6,31,IF(L23&lt;=11,30,VLOOKUP(K23+1,تقویم!$A$2:$B$42,2,0)-VLOOKUP(K23,تقویم!$A$2:$B$42,2,0)-336)))),""))</f>
        <v>5</v>
      </c>
    </row>
    <row r="24" customFormat="false" ht="15" hidden="false" customHeight="true" outlineLevel="0" collapsed="false">
      <c r="A24" s="24" t="str">
        <f aca="false">IF('ورودی و مقایسه'!$B$14="آماده",IF(17&lt;='ورودی و مقایسه'!$B$6,17,""),"")</f>
        <v/>
      </c>
      <c r="B24" s="24" t="str">
        <f aca="false">IF(LEN(A24&amp;"")=0,"",IF(ISNUMBER(M24),K24&amp;"/"&amp;TEXT(L24,"00")&amp;"/"&amp;TEXT(M24,"00"),"تاریخ خارج از بازه"))</f>
        <v/>
      </c>
      <c r="C24" s="25" t="str">
        <f aca="false">IF(A24="","",G23)</f>
        <v/>
      </c>
      <c r="D24" s="25" t="str">
        <f aca="false">IF(A24="","",ROUND(C24*'ورودی و مقایسه'!$B$5/12,0))</f>
        <v/>
      </c>
      <c r="E24" s="25" t="str">
        <f aca="false">IF(LEN(A24&amp;"")=0,"",IF(A24='ورودی و مقایسه'!$B$6,C24,MAX(0,MIN(C24,$C$4))))</f>
        <v/>
      </c>
      <c r="F24" s="25" t="str">
        <f aca="false">IF(A24="","",D24+E24)</f>
        <v/>
      </c>
      <c r="G24" s="25" t="str">
        <f aca="false">IF(A24="","",C24-E24)</f>
        <v/>
      </c>
      <c r="J24" s="20" t="n">
        <f aca="false">IF(AND('ورودی و مقایسه'!$B$14="آماده",ISNUMBER('ورودی و مقایسه'!$N$7)),('ورودی و مقایسه'!$L$7-1)+16,"")</f>
        <v>24</v>
      </c>
      <c r="K24" s="20" t="n">
        <f aca="false">IF(ISNUMBER(J24),'ورودی و مقایسه'!$K$7+INT(J24/12),"")</f>
        <v>1407</v>
      </c>
      <c r="L24" s="20" t="n">
        <f aca="false">IF(ISNUMBER(J24),MOD(J24,12)+1,"")</f>
        <v>1</v>
      </c>
      <c r="M24" s="20" t="n">
        <f aca="false">IF(NOT(ISNUMBER(J24)),"",IFERROR(IF(OR(K24&lt;1390,K24&gt;1429),"",MIN('ورودی و مقایسه'!$M$7,IF(L24&lt;=6,31,IF(L24&lt;=11,30,VLOOKUP(K24+1,تقویم!$A$2:$B$42,2,0)-VLOOKUP(K24,تقویم!$A$2:$B$42,2,0)-336)))),""))</f>
        <v>5</v>
      </c>
    </row>
    <row r="25" customFormat="false" ht="15" hidden="false" customHeight="true" outlineLevel="0" collapsed="false">
      <c r="A25" s="26" t="str">
        <f aca="false">IF('ورودی و مقایسه'!$B$14="آماده",IF(18&lt;='ورودی و مقایسه'!$B$6,18,""),"")</f>
        <v/>
      </c>
      <c r="B25" s="26" t="str">
        <f aca="false">IF(LEN(A25&amp;"")=0,"",IF(ISNUMBER(M25),K25&amp;"/"&amp;TEXT(L25,"00")&amp;"/"&amp;TEXT(M25,"00"),"تاریخ خارج از بازه"))</f>
        <v/>
      </c>
      <c r="C25" s="27" t="str">
        <f aca="false">IF(A25="","",G24)</f>
        <v/>
      </c>
      <c r="D25" s="27" t="str">
        <f aca="false">IF(A25="","",ROUND(C25*'ورودی و مقایسه'!$B$5/12,0))</f>
        <v/>
      </c>
      <c r="E25" s="27" t="str">
        <f aca="false">IF(LEN(A25&amp;"")=0,"",IF(A25='ورودی و مقایسه'!$B$6,C25,MAX(0,MIN(C25,$C$4))))</f>
        <v/>
      </c>
      <c r="F25" s="27" t="str">
        <f aca="false">IF(A25="","",D25+E25)</f>
        <v/>
      </c>
      <c r="G25" s="27" t="str">
        <f aca="false">IF(A25="","",C25-E25)</f>
        <v/>
      </c>
      <c r="J25" s="20" t="n">
        <f aca="false">IF(AND('ورودی و مقایسه'!$B$14="آماده",ISNUMBER('ورودی و مقایسه'!$N$7)),('ورودی و مقایسه'!$L$7-1)+17,"")</f>
        <v>25</v>
      </c>
      <c r="K25" s="20" t="n">
        <f aca="false">IF(ISNUMBER(J25),'ورودی و مقایسه'!$K$7+INT(J25/12),"")</f>
        <v>1407</v>
      </c>
      <c r="L25" s="20" t="n">
        <f aca="false">IF(ISNUMBER(J25),MOD(J25,12)+1,"")</f>
        <v>2</v>
      </c>
      <c r="M25" s="20" t="n">
        <f aca="false">IF(NOT(ISNUMBER(J25)),"",IFERROR(IF(OR(K25&lt;1390,K25&gt;1429),"",MIN('ورودی و مقایسه'!$M$7,IF(L25&lt;=6,31,IF(L25&lt;=11,30,VLOOKUP(K25+1,تقویم!$A$2:$B$42,2,0)-VLOOKUP(K25,تقویم!$A$2:$B$42,2,0)-336)))),""))</f>
        <v>5</v>
      </c>
    </row>
    <row r="26" customFormat="false" ht="15" hidden="false" customHeight="true" outlineLevel="0" collapsed="false">
      <c r="A26" s="24" t="str">
        <f aca="false">IF('ورودی و مقایسه'!$B$14="آماده",IF(19&lt;='ورودی و مقایسه'!$B$6,19,""),"")</f>
        <v/>
      </c>
      <c r="B26" s="24" t="str">
        <f aca="false">IF(LEN(A26&amp;"")=0,"",IF(ISNUMBER(M26),K26&amp;"/"&amp;TEXT(L26,"00")&amp;"/"&amp;TEXT(M26,"00"),"تاریخ خارج از بازه"))</f>
        <v/>
      </c>
      <c r="C26" s="25" t="str">
        <f aca="false">IF(A26="","",G25)</f>
        <v/>
      </c>
      <c r="D26" s="25" t="str">
        <f aca="false">IF(A26="","",ROUND(C26*'ورودی و مقایسه'!$B$5/12,0))</f>
        <v/>
      </c>
      <c r="E26" s="25" t="str">
        <f aca="false">IF(LEN(A26&amp;"")=0,"",IF(A26='ورودی و مقایسه'!$B$6,C26,MAX(0,MIN(C26,$C$4))))</f>
        <v/>
      </c>
      <c r="F26" s="25" t="str">
        <f aca="false">IF(A26="","",D26+E26)</f>
        <v/>
      </c>
      <c r="G26" s="25" t="str">
        <f aca="false">IF(A26="","",C26-E26)</f>
        <v/>
      </c>
      <c r="J26" s="20" t="n">
        <f aca="false">IF(AND('ورودی و مقایسه'!$B$14="آماده",ISNUMBER('ورودی و مقایسه'!$N$7)),('ورودی و مقایسه'!$L$7-1)+18,"")</f>
        <v>26</v>
      </c>
      <c r="K26" s="20" t="n">
        <f aca="false">IF(ISNUMBER(J26),'ورودی و مقایسه'!$K$7+INT(J26/12),"")</f>
        <v>1407</v>
      </c>
      <c r="L26" s="20" t="n">
        <f aca="false">IF(ISNUMBER(J26),MOD(J26,12)+1,"")</f>
        <v>3</v>
      </c>
      <c r="M26" s="20" t="n">
        <f aca="false">IF(NOT(ISNUMBER(J26)),"",IFERROR(IF(OR(K26&lt;1390,K26&gt;1429),"",MIN('ورودی و مقایسه'!$M$7,IF(L26&lt;=6,31,IF(L26&lt;=11,30,VLOOKUP(K26+1,تقویم!$A$2:$B$42,2,0)-VLOOKUP(K26,تقویم!$A$2:$B$42,2,0)-336)))),""))</f>
        <v>5</v>
      </c>
    </row>
    <row r="27" customFormat="false" ht="15" hidden="false" customHeight="true" outlineLevel="0" collapsed="false">
      <c r="A27" s="26" t="str">
        <f aca="false">IF('ورودی و مقایسه'!$B$14="آماده",IF(20&lt;='ورودی و مقایسه'!$B$6,20,""),"")</f>
        <v/>
      </c>
      <c r="B27" s="26" t="str">
        <f aca="false">IF(LEN(A27&amp;"")=0,"",IF(ISNUMBER(M27),K27&amp;"/"&amp;TEXT(L27,"00")&amp;"/"&amp;TEXT(M27,"00"),"تاریخ خارج از بازه"))</f>
        <v/>
      </c>
      <c r="C27" s="27" t="str">
        <f aca="false">IF(A27="","",G26)</f>
        <v/>
      </c>
      <c r="D27" s="27" t="str">
        <f aca="false">IF(A27="","",ROUND(C27*'ورودی و مقایسه'!$B$5/12,0))</f>
        <v/>
      </c>
      <c r="E27" s="27" t="str">
        <f aca="false">IF(LEN(A27&amp;"")=0,"",IF(A27='ورودی و مقایسه'!$B$6,C27,MAX(0,MIN(C27,$C$4))))</f>
        <v/>
      </c>
      <c r="F27" s="27" t="str">
        <f aca="false">IF(A27="","",D27+E27)</f>
        <v/>
      </c>
      <c r="G27" s="27" t="str">
        <f aca="false">IF(A27="","",C27-E27)</f>
        <v/>
      </c>
      <c r="J27" s="20" t="n">
        <f aca="false">IF(AND('ورودی و مقایسه'!$B$14="آماده",ISNUMBER('ورودی و مقایسه'!$N$7)),('ورودی و مقایسه'!$L$7-1)+19,"")</f>
        <v>27</v>
      </c>
      <c r="K27" s="20" t="n">
        <f aca="false">IF(ISNUMBER(J27),'ورودی و مقایسه'!$K$7+INT(J27/12),"")</f>
        <v>1407</v>
      </c>
      <c r="L27" s="20" t="n">
        <f aca="false">IF(ISNUMBER(J27),MOD(J27,12)+1,"")</f>
        <v>4</v>
      </c>
      <c r="M27" s="20" t="n">
        <f aca="false">IF(NOT(ISNUMBER(J27)),"",IFERROR(IF(OR(K27&lt;1390,K27&gt;1429),"",MIN('ورودی و مقایسه'!$M$7,IF(L27&lt;=6,31,IF(L27&lt;=11,30,VLOOKUP(K27+1,تقویم!$A$2:$B$42,2,0)-VLOOKUP(K27,تقویم!$A$2:$B$42,2,0)-336)))),""))</f>
        <v>5</v>
      </c>
    </row>
    <row r="28" customFormat="false" ht="15" hidden="false" customHeight="true" outlineLevel="0" collapsed="false">
      <c r="A28" s="24" t="str">
        <f aca="false">IF('ورودی و مقایسه'!$B$14="آماده",IF(21&lt;='ورودی و مقایسه'!$B$6,21,""),"")</f>
        <v/>
      </c>
      <c r="B28" s="24" t="str">
        <f aca="false">IF(LEN(A28&amp;"")=0,"",IF(ISNUMBER(M28),K28&amp;"/"&amp;TEXT(L28,"00")&amp;"/"&amp;TEXT(M28,"00"),"تاریخ خارج از بازه"))</f>
        <v/>
      </c>
      <c r="C28" s="25" t="str">
        <f aca="false">IF(A28="","",G27)</f>
        <v/>
      </c>
      <c r="D28" s="25" t="str">
        <f aca="false">IF(A28="","",ROUND(C28*'ورودی و مقایسه'!$B$5/12,0))</f>
        <v/>
      </c>
      <c r="E28" s="25" t="str">
        <f aca="false">IF(LEN(A28&amp;"")=0,"",IF(A28='ورودی و مقایسه'!$B$6,C28,MAX(0,MIN(C28,$C$4))))</f>
        <v/>
      </c>
      <c r="F28" s="25" t="str">
        <f aca="false">IF(A28="","",D28+E28)</f>
        <v/>
      </c>
      <c r="G28" s="25" t="str">
        <f aca="false">IF(A28="","",C28-E28)</f>
        <v/>
      </c>
      <c r="J28" s="20" t="n">
        <f aca="false">IF(AND('ورودی و مقایسه'!$B$14="آماده",ISNUMBER('ورودی و مقایسه'!$N$7)),('ورودی و مقایسه'!$L$7-1)+20,"")</f>
        <v>28</v>
      </c>
      <c r="K28" s="20" t="n">
        <f aca="false">IF(ISNUMBER(J28),'ورودی و مقایسه'!$K$7+INT(J28/12),"")</f>
        <v>1407</v>
      </c>
      <c r="L28" s="20" t="n">
        <f aca="false">IF(ISNUMBER(J28),MOD(J28,12)+1,"")</f>
        <v>5</v>
      </c>
      <c r="M28" s="20" t="n">
        <f aca="false">IF(NOT(ISNUMBER(J28)),"",IFERROR(IF(OR(K28&lt;1390,K28&gt;1429),"",MIN('ورودی و مقایسه'!$M$7,IF(L28&lt;=6,31,IF(L28&lt;=11,30,VLOOKUP(K28+1,تقویم!$A$2:$B$42,2,0)-VLOOKUP(K28,تقویم!$A$2:$B$42,2,0)-336)))),""))</f>
        <v>5</v>
      </c>
    </row>
    <row r="29" customFormat="false" ht="15" hidden="false" customHeight="true" outlineLevel="0" collapsed="false">
      <c r="A29" s="26" t="str">
        <f aca="false">IF('ورودی و مقایسه'!$B$14="آماده",IF(22&lt;='ورودی و مقایسه'!$B$6,22,""),"")</f>
        <v/>
      </c>
      <c r="B29" s="26" t="str">
        <f aca="false">IF(LEN(A29&amp;"")=0,"",IF(ISNUMBER(M29),K29&amp;"/"&amp;TEXT(L29,"00")&amp;"/"&amp;TEXT(M29,"00"),"تاریخ خارج از بازه"))</f>
        <v/>
      </c>
      <c r="C29" s="27" t="str">
        <f aca="false">IF(A29="","",G28)</f>
        <v/>
      </c>
      <c r="D29" s="27" t="str">
        <f aca="false">IF(A29="","",ROUND(C29*'ورودی و مقایسه'!$B$5/12,0))</f>
        <v/>
      </c>
      <c r="E29" s="27" t="str">
        <f aca="false">IF(LEN(A29&amp;"")=0,"",IF(A29='ورودی و مقایسه'!$B$6,C29,MAX(0,MIN(C29,$C$4))))</f>
        <v/>
      </c>
      <c r="F29" s="27" t="str">
        <f aca="false">IF(A29="","",D29+E29)</f>
        <v/>
      </c>
      <c r="G29" s="27" t="str">
        <f aca="false">IF(A29="","",C29-E29)</f>
        <v/>
      </c>
      <c r="J29" s="20" t="n">
        <f aca="false">IF(AND('ورودی و مقایسه'!$B$14="آماده",ISNUMBER('ورودی و مقایسه'!$N$7)),('ورودی و مقایسه'!$L$7-1)+21,"")</f>
        <v>29</v>
      </c>
      <c r="K29" s="20" t="n">
        <f aca="false">IF(ISNUMBER(J29),'ورودی و مقایسه'!$K$7+INT(J29/12),"")</f>
        <v>1407</v>
      </c>
      <c r="L29" s="20" t="n">
        <f aca="false">IF(ISNUMBER(J29),MOD(J29,12)+1,"")</f>
        <v>6</v>
      </c>
      <c r="M29" s="20" t="n">
        <f aca="false">IF(NOT(ISNUMBER(J29)),"",IFERROR(IF(OR(K29&lt;1390,K29&gt;1429),"",MIN('ورودی و مقایسه'!$M$7,IF(L29&lt;=6,31,IF(L29&lt;=11,30,VLOOKUP(K29+1,تقویم!$A$2:$B$42,2,0)-VLOOKUP(K29,تقویم!$A$2:$B$42,2,0)-336)))),""))</f>
        <v>5</v>
      </c>
    </row>
    <row r="30" customFormat="false" ht="15" hidden="false" customHeight="true" outlineLevel="0" collapsed="false">
      <c r="A30" s="24" t="str">
        <f aca="false">IF('ورودی و مقایسه'!$B$14="آماده",IF(23&lt;='ورودی و مقایسه'!$B$6,23,""),"")</f>
        <v/>
      </c>
      <c r="B30" s="24" t="str">
        <f aca="false">IF(LEN(A30&amp;"")=0,"",IF(ISNUMBER(M30),K30&amp;"/"&amp;TEXT(L30,"00")&amp;"/"&amp;TEXT(M30,"00"),"تاریخ خارج از بازه"))</f>
        <v/>
      </c>
      <c r="C30" s="25" t="str">
        <f aca="false">IF(A30="","",G29)</f>
        <v/>
      </c>
      <c r="D30" s="25" t="str">
        <f aca="false">IF(A30="","",ROUND(C30*'ورودی و مقایسه'!$B$5/12,0))</f>
        <v/>
      </c>
      <c r="E30" s="25" t="str">
        <f aca="false">IF(LEN(A30&amp;"")=0,"",IF(A30='ورودی و مقایسه'!$B$6,C30,MAX(0,MIN(C30,$C$4))))</f>
        <v/>
      </c>
      <c r="F30" s="25" t="str">
        <f aca="false">IF(A30="","",D30+E30)</f>
        <v/>
      </c>
      <c r="G30" s="25" t="str">
        <f aca="false">IF(A30="","",C30-E30)</f>
        <v/>
      </c>
      <c r="J30" s="20" t="n">
        <f aca="false">IF(AND('ورودی و مقایسه'!$B$14="آماده",ISNUMBER('ورودی و مقایسه'!$N$7)),('ورودی و مقایسه'!$L$7-1)+22,"")</f>
        <v>30</v>
      </c>
      <c r="K30" s="20" t="n">
        <f aca="false">IF(ISNUMBER(J30),'ورودی و مقایسه'!$K$7+INT(J30/12),"")</f>
        <v>1407</v>
      </c>
      <c r="L30" s="20" t="n">
        <f aca="false">IF(ISNUMBER(J30),MOD(J30,12)+1,"")</f>
        <v>7</v>
      </c>
      <c r="M30" s="20" t="n">
        <f aca="false">IF(NOT(ISNUMBER(J30)),"",IFERROR(IF(OR(K30&lt;1390,K30&gt;1429),"",MIN('ورودی و مقایسه'!$M$7,IF(L30&lt;=6,31,IF(L30&lt;=11,30,VLOOKUP(K30+1,تقویم!$A$2:$B$42,2,0)-VLOOKUP(K30,تقویم!$A$2:$B$42,2,0)-336)))),""))</f>
        <v>5</v>
      </c>
    </row>
    <row r="31" customFormat="false" ht="15" hidden="false" customHeight="true" outlineLevel="0" collapsed="false">
      <c r="A31" s="26" t="str">
        <f aca="false">IF('ورودی و مقایسه'!$B$14="آماده",IF(24&lt;='ورودی و مقایسه'!$B$6,24,""),"")</f>
        <v/>
      </c>
      <c r="B31" s="26" t="str">
        <f aca="false">IF(LEN(A31&amp;"")=0,"",IF(ISNUMBER(M31),K31&amp;"/"&amp;TEXT(L31,"00")&amp;"/"&amp;TEXT(M31,"00"),"تاریخ خارج از بازه"))</f>
        <v/>
      </c>
      <c r="C31" s="27" t="str">
        <f aca="false">IF(A31="","",G30)</f>
        <v/>
      </c>
      <c r="D31" s="27" t="str">
        <f aca="false">IF(A31="","",ROUND(C31*'ورودی و مقایسه'!$B$5/12,0))</f>
        <v/>
      </c>
      <c r="E31" s="27" t="str">
        <f aca="false">IF(LEN(A31&amp;"")=0,"",IF(A31='ورودی و مقایسه'!$B$6,C31,MAX(0,MIN(C31,$C$4))))</f>
        <v/>
      </c>
      <c r="F31" s="27" t="str">
        <f aca="false">IF(A31="","",D31+E31)</f>
        <v/>
      </c>
      <c r="G31" s="27" t="str">
        <f aca="false">IF(A31="","",C31-E31)</f>
        <v/>
      </c>
      <c r="J31" s="20" t="n">
        <f aca="false">IF(AND('ورودی و مقایسه'!$B$14="آماده",ISNUMBER('ورودی و مقایسه'!$N$7)),('ورودی و مقایسه'!$L$7-1)+23,"")</f>
        <v>31</v>
      </c>
      <c r="K31" s="20" t="n">
        <f aca="false">IF(ISNUMBER(J31),'ورودی و مقایسه'!$K$7+INT(J31/12),"")</f>
        <v>1407</v>
      </c>
      <c r="L31" s="20" t="n">
        <f aca="false">IF(ISNUMBER(J31),MOD(J31,12)+1,"")</f>
        <v>8</v>
      </c>
      <c r="M31" s="20" t="n">
        <f aca="false">IF(NOT(ISNUMBER(J31)),"",IFERROR(IF(OR(K31&lt;1390,K31&gt;1429),"",MIN('ورودی و مقایسه'!$M$7,IF(L31&lt;=6,31,IF(L31&lt;=11,30,VLOOKUP(K31+1,تقویم!$A$2:$B$42,2,0)-VLOOKUP(K31,تقویم!$A$2:$B$42,2,0)-336)))),""))</f>
        <v>5</v>
      </c>
    </row>
    <row r="32" customFormat="false" ht="15" hidden="false" customHeight="true" outlineLevel="0" collapsed="false">
      <c r="A32" s="24" t="str">
        <f aca="false">IF('ورودی و مقایسه'!$B$14="آماده",IF(25&lt;='ورودی و مقایسه'!$B$6,25,""),"")</f>
        <v/>
      </c>
      <c r="B32" s="24" t="str">
        <f aca="false">IF(LEN(A32&amp;"")=0,"",IF(ISNUMBER(M32),K32&amp;"/"&amp;TEXT(L32,"00")&amp;"/"&amp;TEXT(M32,"00"),"تاریخ خارج از بازه"))</f>
        <v/>
      </c>
      <c r="C32" s="25" t="str">
        <f aca="false">IF(A32="","",G31)</f>
        <v/>
      </c>
      <c r="D32" s="25" t="str">
        <f aca="false">IF(A32="","",ROUND(C32*'ورودی و مقایسه'!$B$5/12,0))</f>
        <v/>
      </c>
      <c r="E32" s="25" t="str">
        <f aca="false">IF(LEN(A32&amp;"")=0,"",IF(A32='ورودی و مقایسه'!$B$6,C32,MAX(0,MIN(C32,$C$4))))</f>
        <v/>
      </c>
      <c r="F32" s="25" t="str">
        <f aca="false">IF(A32="","",D32+E32)</f>
        <v/>
      </c>
      <c r="G32" s="25" t="str">
        <f aca="false">IF(A32="","",C32-E32)</f>
        <v/>
      </c>
      <c r="J32" s="20" t="n">
        <f aca="false">IF(AND('ورودی و مقایسه'!$B$14="آماده",ISNUMBER('ورودی و مقایسه'!$N$7)),('ورودی و مقایسه'!$L$7-1)+24,"")</f>
        <v>32</v>
      </c>
      <c r="K32" s="20" t="n">
        <f aca="false">IF(ISNUMBER(J32),'ورودی و مقایسه'!$K$7+INT(J32/12),"")</f>
        <v>1407</v>
      </c>
      <c r="L32" s="20" t="n">
        <f aca="false">IF(ISNUMBER(J32),MOD(J32,12)+1,"")</f>
        <v>9</v>
      </c>
      <c r="M32" s="20" t="n">
        <f aca="false">IF(NOT(ISNUMBER(J32)),"",IFERROR(IF(OR(K32&lt;1390,K32&gt;1429),"",MIN('ورودی و مقایسه'!$M$7,IF(L32&lt;=6,31,IF(L32&lt;=11,30,VLOOKUP(K32+1,تقویم!$A$2:$B$42,2,0)-VLOOKUP(K32,تقویم!$A$2:$B$42,2,0)-336)))),""))</f>
        <v>5</v>
      </c>
    </row>
    <row r="33" customFormat="false" ht="15" hidden="false" customHeight="true" outlineLevel="0" collapsed="false">
      <c r="A33" s="26" t="str">
        <f aca="false">IF('ورودی و مقایسه'!$B$14="آماده",IF(26&lt;='ورودی و مقایسه'!$B$6,26,""),"")</f>
        <v/>
      </c>
      <c r="B33" s="26" t="str">
        <f aca="false">IF(LEN(A33&amp;"")=0,"",IF(ISNUMBER(M33),K33&amp;"/"&amp;TEXT(L33,"00")&amp;"/"&amp;TEXT(M33,"00"),"تاریخ خارج از بازه"))</f>
        <v/>
      </c>
      <c r="C33" s="27" t="str">
        <f aca="false">IF(A33="","",G32)</f>
        <v/>
      </c>
      <c r="D33" s="27" t="str">
        <f aca="false">IF(A33="","",ROUND(C33*'ورودی و مقایسه'!$B$5/12,0))</f>
        <v/>
      </c>
      <c r="E33" s="27" t="str">
        <f aca="false">IF(LEN(A33&amp;"")=0,"",IF(A33='ورودی و مقایسه'!$B$6,C33,MAX(0,MIN(C33,$C$4))))</f>
        <v/>
      </c>
      <c r="F33" s="27" t="str">
        <f aca="false">IF(A33="","",D33+E33)</f>
        <v/>
      </c>
      <c r="G33" s="27" t="str">
        <f aca="false">IF(A33="","",C33-E33)</f>
        <v/>
      </c>
      <c r="J33" s="20" t="n">
        <f aca="false">IF(AND('ورودی و مقایسه'!$B$14="آماده",ISNUMBER('ورودی و مقایسه'!$N$7)),('ورودی و مقایسه'!$L$7-1)+25,"")</f>
        <v>33</v>
      </c>
      <c r="K33" s="20" t="n">
        <f aca="false">IF(ISNUMBER(J33),'ورودی و مقایسه'!$K$7+INT(J33/12),"")</f>
        <v>1407</v>
      </c>
      <c r="L33" s="20" t="n">
        <f aca="false">IF(ISNUMBER(J33),MOD(J33,12)+1,"")</f>
        <v>10</v>
      </c>
      <c r="M33" s="20" t="n">
        <f aca="false">IF(NOT(ISNUMBER(J33)),"",IFERROR(IF(OR(K33&lt;1390,K33&gt;1429),"",MIN('ورودی و مقایسه'!$M$7,IF(L33&lt;=6,31,IF(L33&lt;=11,30,VLOOKUP(K33+1,تقویم!$A$2:$B$42,2,0)-VLOOKUP(K33,تقویم!$A$2:$B$42,2,0)-336)))),""))</f>
        <v>5</v>
      </c>
    </row>
    <row r="34" customFormat="false" ht="15" hidden="false" customHeight="true" outlineLevel="0" collapsed="false">
      <c r="A34" s="24" t="str">
        <f aca="false">IF('ورودی و مقایسه'!$B$14="آماده",IF(27&lt;='ورودی و مقایسه'!$B$6,27,""),"")</f>
        <v/>
      </c>
      <c r="B34" s="24" t="str">
        <f aca="false">IF(LEN(A34&amp;"")=0,"",IF(ISNUMBER(M34),K34&amp;"/"&amp;TEXT(L34,"00")&amp;"/"&amp;TEXT(M34,"00"),"تاریخ خارج از بازه"))</f>
        <v/>
      </c>
      <c r="C34" s="25" t="str">
        <f aca="false">IF(A34="","",G33)</f>
        <v/>
      </c>
      <c r="D34" s="25" t="str">
        <f aca="false">IF(A34="","",ROUND(C34*'ورودی و مقایسه'!$B$5/12,0))</f>
        <v/>
      </c>
      <c r="E34" s="25" t="str">
        <f aca="false">IF(LEN(A34&amp;"")=0,"",IF(A34='ورودی و مقایسه'!$B$6,C34,MAX(0,MIN(C34,$C$4))))</f>
        <v/>
      </c>
      <c r="F34" s="25" t="str">
        <f aca="false">IF(A34="","",D34+E34)</f>
        <v/>
      </c>
      <c r="G34" s="25" t="str">
        <f aca="false">IF(A34="","",C34-E34)</f>
        <v/>
      </c>
      <c r="J34" s="20" t="n">
        <f aca="false">IF(AND('ورودی و مقایسه'!$B$14="آماده",ISNUMBER('ورودی و مقایسه'!$N$7)),('ورودی و مقایسه'!$L$7-1)+26,"")</f>
        <v>34</v>
      </c>
      <c r="K34" s="20" t="n">
        <f aca="false">IF(ISNUMBER(J34),'ورودی و مقایسه'!$K$7+INT(J34/12),"")</f>
        <v>1407</v>
      </c>
      <c r="L34" s="20" t="n">
        <f aca="false">IF(ISNUMBER(J34),MOD(J34,12)+1,"")</f>
        <v>11</v>
      </c>
      <c r="M34" s="20" t="n">
        <f aca="false">IF(NOT(ISNUMBER(J34)),"",IFERROR(IF(OR(K34&lt;1390,K34&gt;1429),"",MIN('ورودی و مقایسه'!$M$7,IF(L34&lt;=6,31,IF(L34&lt;=11,30,VLOOKUP(K34+1,تقویم!$A$2:$B$42,2,0)-VLOOKUP(K34,تقویم!$A$2:$B$42,2,0)-336)))),""))</f>
        <v>5</v>
      </c>
    </row>
    <row r="35" customFormat="false" ht="15" hidden="false" customHeight="true" outlineLevel="0" collapsed="false">
      <c r="A35" s="26" t="str">
        <f aca="false">IF('ورودی و مقایسه'!$B$14="آماده",IF(28&lt;='ورودی و مقایسه'!$B$6,28,""),"")</f>
        <v/>
      </c>
      <c r="B35" s="26" t="str">
        <f aca="false">IF(LEN(A35&amp;"")=0,"",IF(ISNUMBER(M35),K35&amp;"/"&amp;TEXT(L35,"00")&amp;"/"&amp;TEXT(M35,"00"),"تاریخ خارج از بازه"))</f>
        <v/>
      </c>
      <c r="C35" s="27" t="str">
        <f aca="false">IF(A35="","",G34)</f>
        <v/>
      </c>
      <c r="D35" s="27" t="str">
        <f aca="false">IF(A35="","",ROUND(C35*'ورودی و مقایسه'!$B$5/12,0))</f>
        <v/>
      </c>
      <c r="E35" s="27" t="str">
        <f aca="false">IF(LEN(A35&amp;"")=0,"",IF(A35='ورودی و مقایسه'!$B$6,C35,MAX(0,MIN(C35,$C$4))))</f>
        <v/>
      </c>
      <c r="F35" s="27" t="str">
        <f aca="false">IF(A35="","",D35+E35)</f>
        <v/>
      </c>
      <c r="G35" s="27" t="str">
        <f aca="false">IF(A35="","",C35-E35)</f>
        <v/>
      </c>
      <c r="J35" s="20" t="n">
        <f aca="false">IF(AND('ورودی و مقایسه'!$B$14="آماده",ISNUMBER('ورودی و مقایسه'!$N$7)),('ورودی و مقایسه'!$L$7-1)+27,"")</f>
        <v>35</v>
      </c>
      <c r="K35" s="20" t="n">
        <f aca="false">IF(ISNUMBER(J35),'ورودی و مقایسه'!$K$7+INT(J35/12),"")</f>
        <v>1407</v>
      </c>
      <c r="L35" s="20" t="n">
        <f aca="false">IF(ISNUMBER(J35),MOD(J35,12)+1,"")</f>
        <v>12</v>
      </c>
      <c r="M35" s="20" t="n">
        <f aca="false">IF(NOT(ISNUMBER(J35)),"",IFERROR(IF(OR(K35&lt;1390,K35&gt;1429),"",MIN('ورودی و مقایسه'!$M$7,IF(L35&lt;=6,31,IF(L35&lt;=11,30,VLOOKUP(K35+1,تقویم!$A$2:$B$42,2,0)-VLOOKUP(K35,تقویم!$A$2:$B$42,2,0)-336)))),""))</f>
        <v>5</v>
      </c>
    </row>
    <row r="36" customFormat="false" ht="15" hidden="false" customHeight="true" outlineLevel="0" collapsed="false">
      <c r="A36" s="24" t="str">
        <f aca="false">IF('ورودی و مقایسه'!$B$14="آماده",IF(29&lt;='ورودی و مقایسه'!$B$6,29,""),"")</f>
        <v/>
      </c>
      <c r="B36" s="24" t="str">
        <f aca="false">IF(LEN(A36&amp;"")=0,"",IF(ISNUMBER(M36),K36&amp;"/"&amp;TEXT(L36,"00")&amp;"/"&amp;TEXT(M36,"00"),"تاریخ خارج از بازه"))</f>
        <v/>
      </c>
      <c r="C36" s="25" t="str">
        <f aca="false">IF(A36="","",G35)</f>
        <v/>
      </c>
      <c r="D36" s="25" t="str">
        <f aca="false">IF(A36="","",ROUND(C36*'ورودی و مقایسه'!$B$5/12,0))</f>
        <v/>
      </c>
      <c r="E36" s="25" t="str">
        <f aca="false">IF(LEN(A36&amp;"")=0,"",IF(A36='ورودی و مقایسه'!$B$6,C36,MAX(0,MIN(C36,$C$4))))</f>
        <v/>
      </c>
      <c r="F36" s="25" t="str">
        <f aca="false">IF(A36="","",D36+E36)</f>
        <v/>
      </c>
      <c r="G36" s="25" t="str">
        <f aca="false">IF(A36="","",C36-E36)</f>
        <v/>
      </c>
      <c r="J36" s="20" t="n">
        <f aca="false">IF(AND('ورودی و مقایسه'!$B$14="آماده",ISNUMBER('ورودی و مقایسه'!$N$7)),('ورودی و مقایسه'!$L$7-1)+28,"")</f>
        <v>36</v>
      </c>
      <c r="K36" s="20" t="n">
        <f aca="false">IF(ISNUMBER(J36),'ورودی و مقایسه'!$K$7+INT(J36/12),"")</f>
        <v>1408</v>
      </c>
      <c r="L36" s="20" t="n">
        <f aca="false">IF(ISNUMBER(J36),MOD(J36,12)+1,"")</f>
        <v>1</v>
      </c>
      <c r="M36" s="20" t="n">
        <f aca="false">IF(NOT(ISNUMBER(J36)),"",IFERROR(IF(OR(K36&lt;1390,K36&gt;1429),"",MIN('ورودی و مقایسه'!$M$7,IF(L36&lt;=6,31,IF(L36&lt;=11,30,VLOOKUP(K36+1,تقویم!$A$2:$B$42,2,0)-VLOOKUP(K36,تقویم!$A$2:$B$42,2,0)-336)))),""))</f>
        <v>5</v>
      </c>
    </row>
    <row r="37" customFormat="false" ht="15" hidden="false" customHeight="true" outlineLevel="0" collapsed="false">
      <c r="A37" s="26" t="str">
        <f aca="false">IF('ورودی و مقایسه'!$B$14="آماده",IF(30&lt;='ورودی و مقایسه'!$B$6,30,""),"")</f>
        <v/>
      </c>
      <c r="B37" s="26" t="str">
        <f aca="false">IF(LEN(A37&amp;"")=0,"",IF(ISNUMBER(M37),K37&amp;"/"&amp;TEXT(L37,"00")&amp;"/"&amp;TEXT(M37,"00"),"تاریخ خارج از بازه"))</f>
        <v/>
      </c>
      <c r="C37" s="27" t="str">
        <f aca="false">IF(A37="","",G36)</f>
        <v/>
      </c>
      <c r="D37" s="27" t="str">
        <f aca="false">IF(A37="","",ROUND(C37*'ورودی و مقایسه'!$B$5/12,0))</f>
        <v/>
      </c>
      <c r="E37" s="27" t="str">
        <f aca="false">IF(LEN(A37&amp;"")=0,"",IF(A37='ورودی و مقایسه'!$B$6,C37,MAX(0,MIN(C37,$C$4))))</f>
        <v/>
      </c>
      <c r="F37" s="27" t="str">
        <f aca="false">IF(A37="","",D37+E37)</f>
        <v/>
      </c>
      <c r="G37" s="27" t="str">
        <f aca="false">IF(A37="","",C37-E37)</f>
        <v/>
      </c>
      <c r="J37" s="20" t="n">
        <f aca="false">IF(AND('ورودی و مقایسه'!$B$14="آماده",ISNUMBER('ورودی و مقایسه'!$N$7)),('ورودی و مقایسه'!$L$7-1)+29,"")</f>
        <v>37</v>
      </c>
      <c r="K37" s="20" t="n">
        <f aca="false">IF(ISNUMBER(J37),'ورودی و مقایسه'!$K$7+INT(J37/12),"")</f>
        <v>1408</v>
      </c>
      <c r="L37" s="20" t="n">
        <f aca="false">IF(ISNUMBER(J37),MOD(J37,12)+1,"")</f>
        <v>2</v>
      </c>
      <c r="M37" s="20" t="n">
        <f aca="false">IF(NOT(ISNUMBER(J37)),"",IFERROR(IF(OR(K37&lt;1390,K37&gt;1429),"",MIN('ورودی و مقایسه'!$M$7,IF(L37&lt;=6,31,IF(L37&lt;=11,30,VLOOKUP(K37+1,تقویم!$A$2:$B$42,2,0)-VLOOKUP(K37,تقویم!$A$2:$B$42,2,0)-336)))),""))</f>
        <v>5</v>
      </c>
    </row>
    <row r="38" customFormat="false" ht="15" hidden="false" customHeight="true" outlineLevel="0" collapsed="false">
      <c r="A38" s="24" t="str">
        <f aca="false">IF('ورودی و مقایسه'!$B$14="آماده",IF(31&lt;='ورودی و مقایسه'!$B$6,31,""),"")</f>
        <v/>
      </c>
      <c r="B38" s="24" t="str">
        <f aca="false">IF(LEN(A38&amp;"")=0,"",IF(ISNUMBER(M38),K38&amp;"/"&amp;TEXT(L38,"00")&amp;"/"&amp;TEXT(M38,"00"),"تاریخ خارج از بازه"))</f>
        <v/>
      </c>
      <c r="C38" s="25" t="str">
        <f aca="false">IF(A38="","",G37)</f>
        <v/>
      </c>
      <c r="D38" s="25" t="str">
        <f aca="false">IF(A38="","",ROUND(C38*'ورودی و مقایسه'!$B$5/12,0))</f>
        <v/>
      </c>
      <c r="E38" s="25" t="str">
        <f aca="false">IF(LEN(A38&amp;"")=0,"",IF(A38='ورودی و مقایسه'!$B$6,C38,MAX(0,MIN(C38,$C$4))))</f>
        <v/>
      </c>
      <c r="F38" s="25" t="str">
        <f aca="false">IF(A38="","",D38+E38)</f>
        <v/>
      </c>
      <c r="G38" s="25" t="str">
        <f aca="false">IF(A38="","",C38-E38)</f>
        <v/>
      </c>
      <c r="J38" s="20" t="n">
        <f aca="false">IF(AND('ورودی و مقایسه'!$B$14="آماده",ISNUMBER('ورودی و مقایسه'!$N$7)),('ورودی و مقایسه'!$L$7-1)+30,"")</f>
        <v>38</v>
      </c>
      <c r="K38" s="20" t="n">
        <f aca="false">IF(ISNUMBER(J38),'ورودی و مقایسه'!$K$7+INT(J38/12),"")</f>
        <v>1408</v>
      </c>
      <c r="L38" s="20" t="n">
        <f aca="false">IF(ISNUMBER(J38),MOD(J38,12)+1,"")</f>
        <v>3</v>
      </c>
      <c r="M38" s="20" t="n">
        <f aca="false">IF(NOT(ISNUMBER(J38)),"",IFERROR(IF(OR(K38&lt;1390,K38&gt;1429),"",MIN('ورودی و مقایسه'!$M$7,IF(L38&lt;=6,31,IF(L38&lt;=11,30,VLOOKUP(K38+1,تقویم!$A$2:$B$42,2,0)-VLOOKUP(K38,تقویم!$A$2:$B$42,2,0)-336)))),""))</f>
        <v>5</v>
      </c>
    </row>
    <row r="39" customFormat="false" ht="15" hidden="false" customHeight="true" outlineLevel="0" collapsed="false">
      <c r="A39" s="26" t="str">
        <f aca="false">IF('ورودی و مقایسه'!$B$14="آماده",IF(32&lt;='ورودی و مقایسه'!$B$6,32,""),"")</f>
        <v/>
      </c>
      <c r="B39" s="26" t="str">
        <f aca="false">IF(LEN(A39&amp;"")=0,"",IF(ISNUMBER(M39),K39&amp;"/"&amp;TEXT(L39,"00")&amp;"/"&amp;TEXT(M39,"00"),"تاریخ خارج از بازه"))</f>
        <v/>
      </c>
      <c r="C39" s="27" t="str">
        <f aca="false">IF(A39="","",G38)</f>
        <v/>
      </c>
      <c r="D39" s="27" t="str">
        <f aca="false">IF(A39="","",ROUND(C39*'ورودی و مقایسه'!$B$5/12,0))</f>
        <v/>
      </c>
      <c r="E39" s="27" t="str">
        <f aca="false">IF(LEN(A39&amp;"")=0,"",IF(A39='ورودی و مقایسه'!$B$6,C39,MAX(0,MIN(C39,$C$4))))</f>
        <v/>
      </c>
      <c r="F39" s="27" t="str">
        <f aca="false">IF(A39="","",D39+E39)</f>
        <v/>
      </c>
      <c r="G39" s="27" t="str">
        <f aca="false">IF(A39="","",C39-E39)</f>
        <v/>
      </c>
      <c r="J39" s="20" t="n">
        <f aca="false">IF(AND('ورودی و مقایسه'!$B$14="آماده",ISNUMBER('ورودی و مقایسه'!$N$7)),('ورودی و مقایسه'!$L$7-1)+31,"")</f>
        <v>39</v>
      </c>
      <c r="K39" s="20" t="n">
        <f aca="false">IF(ISNUMBER(J39),'ورودی و مقایسه'!$K$7+INT(J39/12),"")</f>
        <v>1408</v>
      </c>
      <c r="L39" s="20" t="n">
        <f aca="false">IF(ISNUMBER(J39),MOD(J39,12)+1,"")</f>
        <v>4</v>
      </c>
      <c r="M39" s="20" t="n">
        <f aca="false">IF(NOT(ISNUMBER(J39)),"",IFERROR(IF(OR(K39&lt;1390,K39&gt;1429),"",MIN('ورودی و مقایسه'!$M$7,IF(L39&lt;=6,31,IF(L39&lt;=11,30,VLOOKUP(K39+1,تقویم!$A$2:$B$42,2,0)-VLOOKUP(K39,تقویم!$A$2:$B$42,2,0)-336)))),""))</f>
        <v>5</v>
      </c>
    </row>
    <row r="40" customFormat="false" ht="15" hidden="false" customHeight="true" outlineLevel="0" collapsed="false">
      <c r="A40" s="24" t="str">
        <f aca="false">IF('ورودی و مقایسه'!$B$14="آماده",IF(33&lt;='ورودی و مقایسه'!$B$6,33,""),"")</f>
        <v/>
      </c>
      <c r="B40" s="24" t="str">
        <f aca="false">IF(LEN(A40&amp;"")=0,"",IF(ISNUMBER(M40),K40&amp;"/"&amp;TEXT(L40,"00")&amp;"/"&amp;TEXT(M40,"00"),"تاریخ خارج از بازه"))</f>
        <v/>
      </c>
      <c r="C40" s="25" t="str">
        <f aca="false">IF(A40="","",G39)</f>
        <v/>
      </c>
      <c r="D40" s="25" t="str">
        <f aca="false">IF(A40="","",ROUND(C40*'ورودی و مقایسه'!$B$5/12,0))</f>
        <v/>
      </c>
      <c r="E40" s="25" t="str">
        <f aca="false">IF(LEN(A40&amp;"")=0,"",IF(A40='ورودی و مقایسه'!$B$6,C40,MAX(0,MIN(C40,$C$4))))</f>
        <v/>
      </c>
      <c r="F40" s="25" t="str">
        <f aca="false">IF(A40="","",D40+E40)</f>
        <v/>
      </c>
      <c r="G40" s="25" t="str">
        <f aca="false">IF(A40="","",C40-E40)</f>
        <v/>
      </c>
      <c r="J40" s="20" t="n">
        <f aca="false">IF(AND('ورودی و مقایسه'!$B$14="آماده",ISNUMBER('ورودی و مقایسه'!$N$7)),('ورودی و مقایسه'!$L$7-1)+32,"")</f>
        <v>40</v>
      </c>
      <c r="K40" s="20" t="n">
        <f aca="false">IF(ISNUMBER(J40),'ورودی و مقایسه'!$K$7+INT(J40/12),"")</f>
        <v>1408</v>
      </c>
      <c r="L40" s="20" t="n">
        <f aca="false">IF(ISNUMBER(J40),MOD(J40,12)+1,"")</f>
        <v>5</v>
      </c>
      <c r="M40" s="20" t="n">
        <f aca="false">IF(NOT(ISNUMBER(J40)),"",IFERROR(IF(OR(K40&lt;1390,K40&gt;1429),"",MIN('ورودی و مقایسه'!$M$7,IF(L40&lt;=6,31,IF(L40&lt;=11,30,VLOOKUP(K40+1,تقویم!$A$2:$B$42,2,0)-VLOOKUP(K40,تقویم!$A$2:$B$42,2,0)-336)))),""))</f>
        <v>5</v>
      </c>
    </row>
    <row r="41" customFormat="false" ht="15" hidden="false" customHeight="true" outlineLevel="0" collapsed="false">
      <c r="A41" s="26" t="str">
        <f aca="false">IF('ورودی و مقایسه'!$B$14="آماده",IF(34&lt;='ورودی و مقایسه'!$B$6,34,""),"")</f>
        <v/>
      </c>
      <c r="B41" s="26" t="str">
        <f aca="false">IF(LEN(A41&amp;"")=0,"",IF(ISNUMBER(M41),K41&amp;"/"&amp;TEXT(L41,"00")&amp;"/"&amp;TEXT(M41,"00"),"تاریخ خارج از بازه"))</f>
        <v/>
      </c>
      <c r="C41" s="27" t="str">
        <f aca="false">IF(A41="","",G40)</f>
        <v/>
      </c>
      <c r="D41" s="27" t="str">
        <f aca="false">IF(A41="","",ROUND(C41*'ورودی و مقایسه'!$B$5/12,0))</f>
        <v/>
      </c>
      <c r="E41" s="27" t="str">
        <f aca="false">IF(LEN(A41&amp;"")=0,"",IF(A41='ورودی و مقایسه'!$B$6,C41,MAX(0,MIN(C41,$C$4))))</f>
        <v/>
      </c>
      <c r="F41" s="27" t="str">
        <f aca="false">IF(A41="","",D41+E41)</f>
        <v/>
      </c>
      <c r="G41" s="27" t="str">
        <f aca="false">IF(A41="","",C41-E41)</f>
        <v/>
      </c>
      <c r="J41" s="20" t="n">
        <f aca="false">IF(AND('ورودی و مقایسه'!$B$14="آماده",ISNUMBER('ورودی و مقایسه'!$N$7)),('ورودی و مقایسه'!$L$7-1)+33,"")</f>
        <v>41</v>
      </c>
      <c r="K41" s="20" t="n">
        <f aca="false">IF(ISNUMBER(J41),'ورودی و مقایسه'!$K$7+INT(J41/12),"")</f>
        <v>1408</v>
      </c>
      <c r="L41" s="20" t="n">
        <f aca="false">IF(ISNUMBER(J41),MOD(J41,12)+1,"")</f>
        <v>6</v>
      </c>
      <c r="M41" s="20" t="n">
        <f aca="false">IF(NOT(ISNUMBER(J41)),"",IFERROR(IF(OR(K41&lt;1390,K41&gt;1429),"",MIN('ورودی و مقایسه'!$M$7,IF(L41&lt;=6,31,IF(L41&lt;=11,30,VLOOKUP(K41+1,تقویم!$A$2:$B$42,2,0)-VLOOKUP(K41,تقویم!$A$2:$B$42,2,0)-336)))),""))</f>
        <v>5</v>
      </c>
    </row>
    <row r="42" customFormat="false" ht="15" hidden="false" customHeight="true" outlineLevel="0" collapsed="false">
      <c r="A42" s="24" t="str">
        <f aca="false">IF('ورودی و مقایسه'!$B$14="آماده",IF(35&lt;='ورودی و مقایسه'!$B$6,35,""),"")</f>
        <v/>
      </c>
      <c r="B42" s="24" t="str">
        <f aca="false">IF(LEN(A42&amp;"")=0,"",IF(ISNUMBER(M42),K42&amp;"/"&amp;TEXT(L42,"00")&amp;"/"&amp;TEXT(M42,"00"),"تاریخ خارج از بازه"))</f>
        <v/>
      </c>
      <c r="C42" s="25" t="str">
        <f aca="false">IF(A42="","",G41)</f>
        <v/>
      </c>
      <c r="D42" s="25" t="str">
        <f aca="false">IF(A42="","",ROUND(C42*'ورودی و مقایسه'!$B$5/12,0))</f>
        <v/>
      </c>
      <c r="E42" s="25" t="str">
        <f aca="false">IF(LEN(A42&amp;"")=0,"",IF(A42='ورودی و مقایسه'!$B$6,C42,MAX(0,MIN(C42,$C$4))))</f>
        <v/>
      </c>
      <c r="F42" s="25" t="str">
        <f aca="false">IF(A42="","",D42+E42)</f>
        <v/>
      </c>
      <c r="G42" s="25" t="str">
        <f aca="false">IF(A42="","",C42-E42)</f>
        <v/>
      </c>
      <c r="J42" s="20" t="n">
        <f aca="false">IF(AND('ورودی و مقایسه'!$B$14="آماده",ISNUMBER('ورودی و مقایسه'!$N$7)),('ورودی و مقایسه'!$L$7-1)+34,"")</f>
        <v>42</v>
      </c>
      <c r="K42" s="20" t="n">
        <f aca="false">IF(ISNUMBER(J42),'ورودی و مقایسه'!$K$7+INT(J42/12),"")</f>
        <v>1408</v>
      </c>
      <c r="L42" s="20" t="n">
        <f aca="false">IF(ISNUMBER(J42),MOD(J42,12)+1,"")</f>
        <v>7</v>
      </c>
      <c r="M42" s="20" t="n">
        <f aca="false">IF(NOT(ISNUMBER(J42)),"",IFERROR(IF(OR(K42&lt;1390,K42&gt;1429),"",MIN('ورودی و مقایسه'!$M$7,IF(L42&lt;=6,31,IF(L42&lt;=11,30,VLOOKUP(K42+1,تقویم!$A$2:$B$42,2,0)-VLOOKUP(K42,تقویم!$A$2:$B$42,2,0)-336)))),""))</f>
        <v>5</v>
      </c>
    </row>
    <row r="43" customFormat="false" ht="15" hidden="false" customHeight="true" outlineLevel="0" collapsed="false">
      <c r="A43" s="26" t="str">
        <f aca="false">IF('ورودی و مقایسه'!$B$14="آماده",IF(36&lt;='ورودی و مقایسه'!$B$6,36,""),"")</f>
        <v/>
      </c>
      <c r="B43" s="26" t="str">
        <f aca="false">IF(LEN(A43&amp;"")=0,"",IF(ISNUMBER(M43),K43&amp;"/"&amp;TEXT(L43,"00")&amp;"/"&amp;TEXT(M43,"00"),"تاریخ خارج از بازه"))</f>
        <v/>
      </c>
      <c r="C43" s="27" t="str">
        <f aca="false">IF(A43="","",G42)</f>
        <v/>
      </c>
      <c r="D43" s="27" t="str">
        <f aca="false">IF(A43="","",ROUND(C43*'ورودی و مقایسه'!$B$5/12,0))</f>
        <v/>
      </c>
      <c r="E43" s="27" t="str">
        <f aca="false">IF(LEN(A43&amp;"")=0,"",IF(A43='ورودی و مقایسه'!$B$6,C43,MAX(0,MIN(C43,$C$4))))</f>
        <v/>
      </c>
      <c r="F43" s="27" t="str">
        <f aca="false">IF(A43="","",D43+E43)</f>
        <v/>
      </c>
      <c r="G43" s="27" t="str">
        <f aca="false">IF(A43="","",C43-E43)</f>
        <v/>
      </c>
      <c r="J43" s="20" t="n">
        <f aca="false">IF(AND('ورودی و مقایسه'!$B$14="آماده",ISNUMBER('ورودی و مقایسه'!$N$7)),('ورودی و مقایسه'!$L$7-1)+35,"")</f>
        <v>43</v>
      </c>
      <c r="K43" s="20" t="n">
        <f aca="false">IF(ISNUMBER(J43),'ورودی و مقایسه'!$K$7+INT(J43/12),"")</f>
        <v>1408</v>
      </c>
      <c r="L43" s="20" t="n">
        <f aca="false">IF(ISNUMBER(J43),MOD(J43,12)+1,"")</f>
        <v>8</v>
      </c>
      <c r="M43" s="20" t="n">
        <f aca="false">IF(NOT(ISNUMBER(J43)),"",IFERROR(IF(OR(K43&lt;1390,K43&gt;1429),"",MIN('ورودی و مقایسه'!$M$7,IF(L43&lt;=6,31,IF(L43&lt;=11,30,VLOOKUP(K43+1,تقویم!$A$2:$B$42,2,0)-VLOOKUP(K43,تقویم!$A$2:$B$42,2,0)-336)))),""))</f>
        <v>5</v>
      </c>
    </row>
    <row r="44" customFormat="false" ht="15" hidden="false" customHeight="true" outlineLevel="0" collapsed="false">
      <c r="A44" s="24" t="str">
        <f aca="false">IF('ورودی و مقایسه'!$B$14="آماده",IF(37&lt;='ورودی و مقایسه'!$B$6,37,""),"")</f>
        <v/>
      </c>
      <c r="B44" s="24" t="str">
        <f aca="false">IF(LEN(A44&amp;"")=0,"",IF(ISNUMBER(M44),K44&amp;"/"&amp;TEXT(L44,"00")&amp;"/"&amp;TEXT(M44,"00"),"تاریخ خارج از بازه"))</f>
        <v/>
      </c>
      <c r="C44" s="25" t="str">
        <f aca="false">IF(A44="","",G43)</f>
        <v/>
      </c>
      <c r="D44" s="25" t="str">
        <f aca="false">IF(A44="","",ROUND(C44*'ورودی و مقایسه'!$B$5/12,0))</f>
        <v/>
      </c>
      <c r="E44" s="25" t="str">
        <f aca="false">IF(LEN(A44&amp;"")=0,"",IF(A44='ورودی و مقایسه'!$B$6,C44,MAX(0,MIN(C44,$C$4))))</f>
        <v/>
      </c>
      <c r="F44" s="25" t="str">
        <f aca="false">IF(A44="","",D44+E44)</f>
        <v/>
      </c>
      <c r="G44" s="25" t="str">
        <f aca="false">IF(A44="","",C44-E44)</f>
        <v/>
      </c>
      <c r="J44" s="20" t="n">
        <f aca="false">IF(AND('ورودی و مقایسه'!$B$14="آماده",ISNUMBER('ورودی و مقایسه'!$N$7)),('ورودی و مقایسه'!$L$7-1)+36,"")</f>
        <v>44</v>
      </c>
      <c r="K44" s="20" t="n">
        <f aca="false">IF(ISNUMBER(J44),'ورودی و مقایسه'!$K$7+INT(J44/12),"")</f>
        <v>1408</v>
      </c>
      <c r="L44" s="20" t="n">
        <f aca="false">IF(ISNUMBER(J44),MOD(J44,12)+1,"")</f>
        <v>9</v>
      </c>
      <c r="M44" s="20" t="n">
        <f aca="false">IF(NOT(ISNUMBER(J44)),"",IFERROR(IF(OR(K44&lt;1390,K44&gt;1429),"",MIN('ورودی و مقایسه'!$M$7,IF(L44&lt;=6,31,IF(L44&lt;=11,30,VLOOKUP(K44+1,تقویم!$A$2:$B$42,2,0)-VLOOKUP(K44,تقویم!$A$2:$B$42,2,0)-336)))),""))</f>
        <v>5</v>
      </c>
    </row>
    <row r="45" customFormat="false" ht="15" hidden="false" customHeight="true" outlineLevel="0" collapsed="false">
      <c r="A45" s="26" t="str">
        <f aca="false">IF('ورودی و مقایسه'!$B$14="آماده",IF(38&lt;='ورودی و مقایسه'!$B$6,38,""),"")</f>
        <v/>
      </c>
      <c r="B45" s="26" t="str">
        <f aca="false">IF(LEN(A45&amp;"")=0,"",IF(ISNUMBER(M45),K45&amp;"/"&amp;TEXT(L45,"00")&amp;"/"&amp;TEXT(M45,"00"),"تاریخ خارج از بازه"))</f>
        <v/>
      </c>
      <c r="C45" s="27" t="str">
        <f aca="false">IF(A45="","",G44)</f>
        <v/>
      </c>
      <c r="D45" s="27" t="str">
        <f aca="false">IF(A45="","",ROUND(C45*'ورودی و مقایسه'!$B$5/12,0))</f>
        <v/>
      </c>
      <c r="E45" s="27" t="str">
        <f aca="false">IF(LEN(A45&amp;"")=0,"",IF(A45='ورودی و مقایسه'!$B$6,C45,MAX(0,MIN(C45,$C$4))))</f>
        <v/>
      </c>
      <c r="F45" s="27" t="str">
        <f aca="false">IF(A45="","",D45+E45)</f>
        <v/>
      </c>
      <c r="G45" s="27" t="str">
        <f aca="false">IF(A45="","",C45-E45)</f>
        <v/>
      </c>
      <c r="J45" s="20" t="n">
        <f aca="false">IF(AND('ورودی و مقایسه'!$B$14="آماده",ISNUMBER('ورودی و مقایسه'!$N$7)),('ورودی و مقایسه'!$L$7-1)+37,"")</f>
        <v>45</v>
      </c>
      <c r="K45" s="20" t="n">
        <f aca="false">IF(ISNUMBER(J45),'ورودی و مقایسه'!$K$7+INT(J45/12),"")</f>
        <v>1408</v>
      </c>
      <c r="L45" s="20" t="n">
        <f aca="false">IF(ISNUMBER(J45),MOD(J45,12)+1,"")</f>
        <v>10</v>
      </c>
      <c r="M45" s="20" t="n">
        <f aca="false">IF(NOT(ISNUMBER(J45)),"",IFERROR(IF(OR(K45&lt;1390,K45&gt;1429),"",MIN('ورودی و مقایسه'!$M$7,IF(L45&lt;=6,31,IF(L45&lt;=11,30,VLOOKUP(K45+1,تقویم!$A$2:$B$42,2,0)-VLOOKUP(K45,تقویم!$A$2:$B$42,2,0)-336)))),""))</f>
        <v>5</v>
      </c>
    </row>
    <row r="46" customFormat="false" ht="15" hidden="false" customHeight="true" outlineLevel="0" collapsed="false">
      <c r="A46" s="24" t="str">
        <f aca="false">IF('ورودی و مقایسه'!$B$14="آماده",IF(39&lt;='ورودی و مقایسه'!$B$6,39,""),"")</f>
        <v/>
      </c>
      <c r="B46" s="24" t="str">
        <f aca="false">IF(LEN(A46&amp;"")=0,"",IF(ISNUMBER(M46),K46&amp;"/"&amp;TEXT(L46,"00")&amp;"/"&amp;TEXT(M46,"00"),"تاریخ خارج از بازه"))</f>
        <v/>
      </c>
      <c r="C46" s="25" t="str">
        <f aca="false">IF(A46="","",G45)</f>
        <v/>
      </c>
      <c r="D46" s="25" t="str">
        <f aca="false">IF(A46="","",ROUND(C46*'ورودی و مقایسه'!$B$5/12,0))</f>
        <v/>
      </c>
      <c r="E46" s="25" t="str">
        <f aca="false">IF(LEN(A46&amp;"")=0,"",IF(A46='ورودی و مقایسه'!$B$6,C46,MAX(0,MIN(C46,$C$4))))</f>
        <v/>
      </c>
      <c r="F46" s="25" t="str">
        <f aca="false">IF(A46="","",D46+E46)</f>
        <v/>
      </c>
      <c r="G46" s="25" t="str">
        <f aca="false">IF(A46="","",C46-E46)</f>
        <v/>
      </c>
      <c r="J46" s="20" t="n">
        <f aca="false">IF(AND('ورودی و مقایسه'!$B$14="آماده",ISNUMBER('ورودی و مقایسه'!$N$7)),('ورودی و مقایسه'!$L$7-1)+38,"")</f>
        <v>46</v>
      </c>
      <c r="K46" s="20" t="n">
        <f aca="false">IF(ISNUMBER(J46),'ورودی و مقایسه'!$K$7+INT(J46/12),"")</f>
        <v>1408</v>
      </c>
      <c r="L46" s="20" t="n">
        <f aca="false">IF(ISNUMBER(J46),MOD(J46,12)+1,"")</f>
        <v>11</v>
      </c>
      <c r="M46" s="20" t="n">
        <f aca="false">IF(NOT(ISNUMBER(J46)),"",IFERROR(IF(OR(K46&lt;1390,K46&gt;1429),"",MIN('ورودی و مقایسه'!$M$7,IF(L46&lt;=6,31,IF(L46&lt;=11,30,VLOOKUP(K46+1,تقویم!$A$2:$B$42,2,0)-VLOOKUP(K46,تقویم!$A$2:$B$42,2,0)-336)))),""))</f>
        <v>5</v>
      </c>
    </row>
    <row r="47" customFormat="false" ht="15" hidden="false" customHeight="true" outlineLevel="0" collapsed="false">
      <c r="A47" s="26" t="str">
        <f aca="false">IF('ورودی و مقایسه'!$B$14="آماده",IF(40&lt;='ورودی و مقایسه'!$B$6,40,""),"")</f>
        <v/>
      </c>
      <c r="B47" s="26" t="str">
        <f aca="false">IF(LEN(A47&amp;"")=0,"",IF(ISNUMBER(M47),K47&amp;"/"&amp;TEXT(L47,"00")&amp;"/"&amp;TEXT(M47,"00"),"تاریخ خارج از بازه"))</f>
        <v/>
      </c>
      <c r="C47" s="27" t="str">
        <f aca="false">IF(A47="","",G46)</f>
        <v/>
      </c>
      <c r="D47" s="27" t="str">
        <f aca="false">IF(A47="","",ROUND(C47*'ورودی و مقایسه'!$B$5/12,0))</f>
        <v/>
      </c>
      <c r="E47" s="27" t="str">
        <f aca="false">IF(LEN(A47&amp;"")=0,"",IF(A47='ورودی و مقایسه'!$B$6,C47,MAX(0,MIN(C47,$C$4))))</f>
        <v/>
      </c>
      <c r="F47" s="27" t="str">
        <f aca="false">IF(A47="","",D47+E47)</f>
        <v/>
      </c>
      <c r="G47" s="27" t="str">
        <f aca="false">IF(A47="","",C47-E47)</f>
        <v/>
      </c>
      <c r="J47" s="20" t="n">
        <f aca="false">IF(AND('ورودی و مقایسه'!$B$14="آماده",ISNUMBER('ورودی و مقایسه'!$N$7)),('ورودی و مقایسه'!$L$7-1)+39,"")</f>
        <v>47</v>
      </c>
      <c r="K47" s="20" t="n">
        <f aca="false">IF(ISNUMBER(J47),'ورودی و مقایسه'!$K$7+INT(J47/12),"")</f>
        <v>1408</v>
      </c>
      <c r="L47" s="20" t="n">
        <f aca="false">IF(ISNUMBER(J47),MOD(J47,12)+1,"")</f>
        <v>12</v>
      </c>
      <c r="M47" s="20" t="n">
        <f aca="false">IF(NOT(ISNUMBER(J47)),"",IFERROR(IF(OR(K47&lt;1390,K47&gt;1429),"",MIN('ورودی و مقایسه'!$M$7,IF(L47&lt;=6,31,IF(L47&lt;=11,30,VLOOKUP(K47+1,تقویم!$A$2:$B$42,2,0)-VLOOKUP(K47,تقویم!$A$2:$B$42,2,0)-336)))),""))</f>
        <v>5</v>
      </c>
    </row>
    <row r="48" customFormat="false" ht="15" hidden="false" customHeight="true" outlineLevel="0" collapsed="false">
      <c r="A48" s="24" t="str">
        <f aca="false">IF('ورودی و مقایسه'!$B$14="آماده",IF(41&lt;='ورودی و مقایسه'!$B$6,41,""),"")</f>
        <v/>
      </c>
      <c r="B48" s="24" t="str">
        <f aca="false">IF(LEN(A48&amp;"")=0,"",IF(ISNUMBER(M48),K48&amp;"/"&amp;TEXT(L48,"00")&amp;"/"&amp;TEXT(M48,"00"),"تاریخ خارج از بازه"))</f>
        <v/>
      </c>
      <c r="C48" s="25" t="str">
        <f aca="false">IF(A48="","",G47)</f>
        <v/>
      </c>
      <c r="D48" s="25" t="str">
        <f aca="false">IF(A48="","",ROUND(C48*'ورودی و مقایسه'!$B$5/12,0))</f>
        <v/>
      </c>
      <c r="E48" s="25" t="str">
        <f aca="false">IF(LEN(A48&amp;"")=0,"",IF(A48='ورودی و مقایسه'!$B$6,C48,MAX(0,MIN(C48,$C$4))))</f>
        <v/>
      </c>
      <c r="F48" s="25" t="str">
        <f aca="false">IF(A48="","",D48+E48)</f>
        <v/>
      </c>
      <c r="G48" s="25" t="str">
        <f aca="false">IF(A48="","",C48-E48)</f>
        <v/>
      </c>
      <c r="J48" s="20" t="n">
        <f aca="false">IF(AND('ورودی و مقایسه'!$B$14="آماده",ISNUMBER('ورودی و مقایسه'!$N$7)),('ورودی و مقایسه'!$L$7-1)+40,"")</f>
        <v>48</v>
      </c>
      <c r="K48" s="20" t="n">
        <f aca="false">IF(ISNUMBER(J48),'ورودی و مقایسه'!$K$7+INT(J48/12),"")</f>
        <v>1409</v>
      </c>
      <c r="L48" s="20" t="n">
        <f aca="false">IF(ISNUMBER(J48),MOD(J48,12)+1,"")</f>
        <v>1</v>
      </c>
      <c r="M48" s="20" t="n">
        <f aca="false">IF(NOT(ISNUMBER(J48)),"",IFERROR(IF(OR(K48&lt;1390,K48&gt;1429),"",MIN('ورودی و مقایسه'!$M$7,IF(L48&lt;=6,31,IF(L48&lt;=11,30,VLOOKUP(K48+1,تقویم!$A$2:$B$42,2,0)-VLOOKUP(K48,تقویم!$A$2:$B$42,2,0)-336)))),""))</f>
        <v>5</v>
      </c>
    </row>
    <row r="49" customFormat="false" ht="15" hidden="false" customHeight="true" outlineLevel="0" collapsed="false">
      <c r="A49" s="26" t="str">
        <f aca="false">IF('ورودی و مقایسه'!$B$14="آماده",IF(42&lt;='ورودی و مقایسه'!$B$6,42,""),"")</f>
        <v/>
      </c>
      <c r="B49" s="26" t="str">
        <f aca="false">IF(LEN(A49&amp;"")=0,"",IF(ISNUMBER(M49),K49&amp;"/"&amp;TEXT(L49,"00")&amp;"/"&amp;TEXT(M49,"00"),"تاریخ خارج از بازه"))</f>
        <v/>
      </c>
      <c r="C49" s="27" t="str">
        <f aca="false">IF(A49="","",G48)</f>
        <v/>
      </c>
      <c r="D49" s="27" t="str">
        <f aca="false">IF(A49="","",ROUND(C49*'ورودی و مقایسه'!$B$5/12,0))</f>
        <v/>
      </c>
      <c r="E49" s="27" t="str">
        <f aca="false">IF(LEN(A49&amp;"")=0,"",IF(A49='ورودی و مقایسه'!$B$6,C49,MAX(0,MIN(C49,$C$4))))</f>
        <v/>
      </c>
      <c r="F49" s="27" t="str">
        <f aca="false">IF(A49="","",D49+E49)</f>
        <v/>
      </c>
      <c r="G49" s="27" t="str">
        <f aca="false">IF(A49="","",C49-E49)</f>
        <v/>
      </c>
      <c r="J49" s="20" t="n">
        <f aca="false">IF(AND('ورودی و مقایسه'!$B$14="آماده",ISNUMBER('ورودی و مقایسه'!$N$7)),('ورودی و مقایسه'!$L$7-1)+41,"")</f>
        <v>49</v>
      </c>
      <c r="K49" s="20" t="n">
        <f aca="false">IF(ISNUMBER(J49),'ورودی و مقایسه'!$K$7+INT(J49/12),"")</f>
        <v>1409</v>
      </c>
      <c r="L49" s="20" t="n">
        <f aca="false">IF(ISNUMBER(J49),MOD(J49,12)+1,"")</f>
        <v>2</v>
      </c>
      <c r="M49" s="20" t="n">
        <f aca="false">IF(NOT(ISNUMBER(J49)),"",IFERROR(IF(OR(K49&lt;1390,K49&gt;1429),"",MIN('ورودی و مقایسه'!$M$7,IF(L49&lt;=6,31,IF(L49&lt;=11,30,VLOOKUP(K49+1,تقویم!$A$2:$B$42,2,0)-VLOOKUP(K49,تقویم!$A$2:$B$42,2,0)-336)))),""))</f>
        <v>5</v>
      </c>
    </row>
    <row r="50" customFormat="false" ht="15" hidden="false" customHeight="true" outlineLevel="0" collapsed="false">
      <c r="A50" s="24" t="str">
        <f aca="false">IF('ورودی و مقایسه'!$B$14="آماده",IF(43&lt;='ورودی و مقایسه'!$B$6,43,""),"")</f>
        <v/>
      </c>
      <c r="B50" s="24" t="str">
        <f aca="false">IF(LEN(A50&amp;"")=0,"",IF(ISNUMBER(M50),K50&amp;"/"&amp;TEXT(L50,"00")&amp;"/"&amp;TEXT(M50,"00"),"تاریخ خارج از بازه"))</f>
        <v/>
      </c>
      <c r="C50" s="25" t="str">
        <f aca="false">IF(A50="","",G49)</f>
        <v/>
      </c>
      <c r="D50" s="25" t="str">
        <f aca="false">IF(A50="","",ROUND(C50*'ورودی و مقایسه'!$B$5/12,0))</f>
        <v/>
      </c>
      <c r="E50" s="25" t="str">
        <f aca="false">IF(LEN(A50&amp;"")=0,"",IF(A50='ورودی و مقایسه'!$B$6,C50,MAX(0,MIN(C50,$C$4))))</f>
        <v/>
      </c>
      <c r="F50" s="25" t="str">
        <f aca="false">IF(A50="","",D50+E50)</f>
        <v/>
      </c>
      <c r="G50" s="25" t="str">
        <f aca="false">IF(A50="","",C50-E50)</f>
        <v/>
      </c>
      <c r="J50" s="20" t="n">
        <f aca="false">IF(AND('ورودی و مقایسه'!$B$14="آماده",ISNUMBER('ورودی و مقایسه'!$N$7)),('ورودی و مقایسه'!$L$7-1)+42,"")</f>
        <v>50</v>
      </c>
      <c r="K50" s="20" t="n">
        <f aca="false">IF(ISNUMBER(J50),'ورودی و مقایسه'!$K$7+INT(J50/12),"")</f>
        <v>1409</v>
      </c>
      <c r="L50" s="20" t="n">
        <f aca="false">IF(ISNUMBER(J50),MOD(J50,12)+1,"")</f>
        <v>3</v>
      </c>
      <c r="M50" s="20" t="n">
        <f aca="false">IF(NOT(ISNUMBER(J50)),"",IFERROR(IF(OR(K50&lt;1390,K50&gt;1429),"",MIN('ورودی و مقایسه'!$M$7,IF(L50&lt;=6,31,IF(L50&lt;=11,30,VLOOKUP(K50+1,تقویم!$A$2:$B$42,2,0)-VLOOKUP(K50,تقویم!$A$2:$B$42,2,0)-336)))),""))</f>
        <v>5</v>
      </c>
    </row>
    <row r="51" customFormat="false" ht="15" hidden="false" customHeight="true" outlineLevel="0" collapsed="false">
      <c r="A51" s="26" t="str">
        <f aca="false">IF('ورودی و مقایسه'!$B$14="آماده",IF(44&lt;='ورودی و مقایسه'!$B$6,44,""),"")</f>
        <v/>
      </c>
      <c r="B51" s="26" t="str">
        <f aca="false">IF(LEN(A51&amp;"")=0,"",IF(ISNUMBER(M51),K51&amp;"/"&amp;TEXT(L51,"00")&amp;"/"&amp;TEXT(M51,"00"),"تاریخ خارج از بازه"))</f>
        <v/>
      </c>
      <c r="C51" s="27" t="str">
        <f aca="false">IF(A51="","",G50)</f>
        <v/>
      </c>
      <c r="D51" s="27" t="str">
        <f aca="false">IF(A51="","",ROUND(C51*'ورودی و مقایسه'!$B$5/12,0))</f>
        <v/>
      </c>
      <c r="E51" s="27" t="str">
        <f aca="false">IF(LEN(A51&amp;"")=0,"",IF(A51='ورودی و مقایسه'!$B$6,C51,MAX(0,MIN(C51,$C$4))))</f>
        <v/>
      </c>
      <c r="F51" s="27" t="str">
        <f aca="false">IF(A51="","",D51+E51)</f>
        <v/>
      </c>
      <c r="G51" s="27" t="str">
        <f aca="false">IF(A51="","",C51-E51)</f>
        <v/>
      </c>
      <c r="J51" s="20" t="n">
        <f aca="false">IF(AND('ورودی و مقایسه'!$B$14="آماده",ISNUMBER('ورودی و مقایسه'!$N$7)),('ورودی و مقایسه'!$L$7-1)+43,"")</f>
        <v>51</v>
      </c>
      <c r="K51" s="20" t="n">
        <f aca="false">IF(ISNUMBER(J51),'ورودی و مقایسه'!$K$7+INT(J51/12),"")</f>
        <v>1409</v>
      </c>
      <c r="L51" s="20" t="n">
        <f aca="false">IF(ISNUMBER(J51),MOD(J51,12)+1,"")</f>
        <v>4</v>
      </c>
      <c r="M51" s="20" t="n">
        <f aca="false">IF(NOT(ISNUMBER(J51)),"",IFERROR(IF(OR(K51&lt;1390,K51&gt;1429),"",MIN('ورودی و مقایسه'!$M$7,IF(L51&lt;=6,31,IF(L51&lt;=11,30,VLOOKUP(K51+1,تقویم!$A$2:$B$42,2,0)-VLOOKUP(K51,تقویم!$A$2:$B$42,2,0)-336)))),""))</f>
        <v>5</v>
      </c>
    </row>
    <row r="52" customFormat="false" ht="15" hidden="false" customHeight="true" outlineLevel="0" collapsed="false">
      <c r="A52" s="24" t="str">
        <f aca="false">IF('ورودی و مقایسه'!$B$14="آماده",IF(45&lt;='ورودی و مقایسه'!$B$6,45,""),"")</f>
        <v/>
      </c>
      <c r="B52" s="24" t="str">
        <f aca="false">IF(LEN(A52&amp;"")=0,"",IF(ISNUMBER(M52),K52&amp;"/"&amp;TEXT(L52,"00")&amp;"/"&amp;TEXT(M52,"00"),"تاریخ خارج از بازه"))</f>
        <v/>
      </c>
      <c r="C52" s="25" t="str">
        <f aca="false">IF(A52="","",G51)</f>
        <v/>
      </c>
      <c r="D52" s="25" t="str">
        <f aca="false">IF(A52="","",ROUND(C52*'ورودی و مقایسه'!$B$5/12,0))</f>
        <v/>
      </c>
      <c r="E52" s="25" t="str">
        <f aca="false">IF(LEN(A52&amp;"")=0,"",IF(A52='ورودی و مقایسه'!$B$6,C52,MAX(0,MIN(C52,$C$4))))</f>
        <v/>
      </c>
      <c r="F52" s="25" t="str">
        <f aca="false">IF(A52="","",D52+E52)</f>
        <v/>
      </c>
      <c r="G52" s="25" t="str">
        <f aca="false">IF(A52="","",C52-E52)</f>
        <v/>
      </c>
      <c r="J52" s="20" t="n">
        <f aca="false">IF(AND('ورودی و مقایسه'!$B$14="آماده",ISNUMBER('ورودی و مقایسه'!$N$7)),('ورودی و مقایسه'!$L$7-1)+44,"")</f>
        <v>52</v>
      </c>
      <c r="K52" s="20" t="n">
        <f aca="false">IF(ISNUMBER(J52),'ورودی و مقایسه'!$K$7+INT(J52/12),"")</f>
        <v>1409</v>
      </c>
      <c r="L52" s="20" t="n">
        <f aca="false">IF(ISNUMBER(J52),MOD(J52,12)+1,"")</f>
        <v>5</v>
      </c>
      <c r="M52" s="20" t="n">
        <f aca="false">IF(NOT(ISNUMBER(J52)),"",IFERROR(IF(OR(K52&lt;1390,K52&gt;1429),"",MIN('ورودی و مقایسه'!$M$7,IF(L52&lt;=6,31,IF(L52&lt;=11,30,VLOOKUP(K52+1,تقویم!$A$2:$B$42,2,0)-VLOOKUP(K52,تقویم!$A$2:$B$42,2,0)-336)))),""))</f>
        <v>5</v>
      </c>
    </row>
    <row r="53" customFormat="false" ht="15" hidden="false" customHeight="true" outlineLevel="0" collapsed="false">
      <c r="A53" s="26" t="str">
        <f aca="false">IF('ورودی و مقایسه'!$B$14="آماده",IF(46&lt;='ورودی و مقایسه'!$B$6,46,""),"")</f>
        <v/>
      </c>
      <c r="B53" s="26" t="str">
        <f aca="false">IF(LEN(A53&amp;"")=0,"",IF(ISNUMBER(M53),K53&amp;"/"&amp;TEXT(L53,"00")&amp;"/"&amp;TEXT(M53,"00"),"تاریخ خارج از بازه"))</f>
        <v/>
      </c>
      <c r="C53" s="27" t="str">
        <f aca="false">IF(A53="","",G52)</f>
        <v/>
      </c>
      <c r="D53" s="27" t="str">
        <f aca="false">IF(A53="","",ROUND(C53*'ورودی و مقایسه'!$B$5/12,0))</f>
        <v/>
      </c>
      <c r="E53" s="27" t="str">
        <f aca="false">IF(LEN(A53&amp;"")=0,"",IF(A53='ورودی و مقایسه'!$B$6,C53,MAX(0,MIN(C53,$C$4))))</f>
        <v/>
      </c>
      <c r="F53" s="27" t="str">
        <f aca="false">IF(A53="","",D53+E53)</f>
        <v/>
      </c>
      <c r="G53" s="27" t="str">
        <f aca="false">IF(A53="","",C53-E53)</f>
        <v/>
      </c>
      <c r="J53" s="20" t="n">
        <f aca="false">IF(AND('ورودی و مقایسه'!$B$14="آماده",ISNUMBER('ورودی و مقایسه'!$N$7)),('ورودی و مقایسه'!$L$7-1)+45,"")</f>
        <v>53</v>
      </c>
      <c r="K53" s="20" t="n">
        <f aca="false">IF(ISNUMBER(J53),'ورودی و مقایسه'!$K$7+INT(J53/12),"")</f>
        <v>1409</v>
      </c>
      <c r="L53" s="20" t="n">
        <f aca="false">IF(ISNUMBER(J53),MOD(J53,12)+1,"")</f>
        <v>6</v>
      </c>
      <c r="M53" s="20" t="n">
        <f aca="false">IF(NOT(ISNUMBER(J53)),"",IFERROR(IF(OR(K53&lt;1390,K53&gt;1429),"",MIN('ورودی و مقایسه'!$M$7,IF(L53&lt;=6,31,IF(L53&lt;=11,30,VLOOKUP(K53+1,تقویم!$A$2:$B$42,2,0)-VLOOKUP(K53,تقویم!$A$2:$B$42,2,0)-336)))),""))</f>
        <v>5</v>
      </c>
    </row>
    <row r="54" customFormat="false" ht="15" hidden="false" customHeight="true" outlineLevel="0" collapsed="false">
      <c r="A54" s="24" t="str">
        <f aca="false">IF('ورودی و مقایسه'!$B$14="آماده",IF(47&lt;='ورودی و مقایسه'!$B$6,47,""),"")</f>
        <v/>
      </c>
      <c r="B54" s="24" t="str">
        <f aca="false">IF(LEN(A54&amp;"")=0,"",IF(ISNUMBER(M54),K54&amp;"/"&amp;TEXT(L54,"00")&amp;"/"&amp;TEXT(M54,"00"),"تاریخ خارج از بازه"))</f>
        <v/>
      </c>
      <c r="C54" s="25" t="str">
        <f aca="false">IF(A54="","",G53)</f>
        <v/>
      </c>
      <c r="D54" s="25" t="str">
        <f aca="false">IF(A54="","",ROUND(C54*'ورودی و مقایسه'!$B$5/12,0))</f>
        <v/>
      </c>
      <c r="E54" s="25" t="str">
        <f aca="false">IF(LEN(A54&amp;"")=0,"",IF(A54='ورودی و مقایسه'!$B$6,C54,MAX(0,MIN(C54,$C$4))))</f>
        <v/>
      </c>
      <c r="F54" s="25" t="str">
        <f aca="false">IF(A54="","",D54+E54)</f>
        <v/>
      </c>
      <c r="G54" s="25" t="str">
        <f aca="false">IF(A54="","",C54-E54)</f>
        <v/>
      </c>
      <c r="J54" s="20" t="n">
        <f aca="false">IF(AND('ورودی و مقایسه'!$B$14="آماده",ISNUMBER('ورودی و مقایسه'!$N$7)),('ورودی و مقایسه'!$L$7-1)+46,"")</f>
        <v>54</v>
      </c>
      <c r="K54" s="20" t="n">
        <f aca="false">IF(ISNUMBER(J54),'ورودی و مقایسه'!$K$7+INT(J54/12),"")</f>
        <v>1409</v>
      </c>
      <c r="L54" s="20" t="n">
        <f aca="false">IF(ISNUMBER(J54),MOD(J54,12)+1,"")</f>
        <v>7</v>
      </c>
      <c r="M54" s="20" t="n">
        <f aca="false">IF(NOT(ISNUMBER(J54)),"",IFERROR(IF(OR(K54&lt;1390,K54&gt;1429),"",MIN('ورودی و مقایسه'!$M$7,IF(L54&lt;=6,31,IF(L54&lt;=11,30,VLOOKUP(K54+1,تقویم!$A$2:$B$42,2,0)-VLOOKUP(K54,تقویم!$A$2:$B$42,2,0)-336)))),""))</f>
        <v>5</v>
      </c>
    </row>
    <row r="55" customFormat="false" ht="15" hidden="false" customHeight="true" outlineLevel="0" collapsed="false">
      <c r="A55" s="26" t="str">
        <f aca="false">IF('ورودی و مقایسه'!$B$14="آماده",IF(48&lt;='ورودی و مقایسه'!$B$6,48,""),"")</f>
        <v/>
      </c>
      <c r="B55" s="26" t="str">
        <f aca="false">IF(LEN(A55&amp;"")=0,"",IF(ISNUMBER(M55),K55&amp;"/"&amp;TEXT(L55,"00")&amp;"/"&amp;TEXT(M55,"00"),"تاریخ خارج از بازه"))</f>
        <v/>
      </c>
      <c r="C55" s="27" t="str">
        <f aca="false">IF(A55="","",G54)</f>
        <v/>
      </c>
      <c r="D55" s="27" t="str">
        <f aca="false">IF(A55="","",ROUND(C55*'ورودی و مقایسه'!$B$5/12,0))</f>
        <v/>
      </c>
      <c r="E55" s="27" t="str">
        <f aca="false">IF(LEN(A55&amp;"")=0,"",IF(A55='ورودی و مقایسه'!$B$6,C55,MAX(0,MIN(C55,$C$4))))</f>
        <v/>
      </c>
      <c r="F55" s="27" t="str">
        <f aca="false">IF(A55="","",D55+E55)</f>
        <v/>
      </c>
      <c r="G55" s="27" t="str">
        <f aca="false">IF(A55="","",C55-E55)</f>
        <v/>
      </c>
      <c r="J55" s="20" t="n">
        <f aca="false">IF(AND('ورودی و مقایسه'!$B$14="آماده",ISNUMBER('ورودی و مقایسه'!$N$7)),('ورودی و مقایسه'!$L$7-1)+47,"")</f>
        <v>55</v>
      </c>
      <c r="K55" s="20" t="n">
        <f aca="false">IF(ISNUMBER(J55),'ورودی و مقایسه'!$K$7+INT(J55/12),"")</f>
        <v>1409</v>
      </c>
      <c r="L55" s="20" t="n">
        <f aca="false">IF(ISNUMBER(J55),MOD(J55,12)+1,"")</f>
        <v>8</v>
      </c>
      <c r="M55" s="20" t="n">
        <f aca="false">IF(NOT(ISNUMBER(J55)),"",IFERROR(IF(OR(K55&lt;1390,K55&gt;1429),"",MIN('ورودی و مقایسه'!$M$7,IF(L55&lt;=6,31,IF(L55&lt;=11,30,VLOOKUP(K55+1,تقویم!$A$2:$B$42,2,0)-VLOOKUP(K55,تقویم!$A$2:$B$42,2,0)-336)))),""))</f>
        <v>5</v>
      </c>
    </row>
    <row r="56" customFormat="false" ht="15" hidden="false" customHeight="true" outlineLevel="0" collapsed="false">
      <c r="A56" s="24" t="str">
        <f aca="false">IF('ورودی و مقایسه'!$B$14="آماده",IF(49&lt;='ورودی و مقایسه'!$B$6,49,""),"")</f>
        <v/>
      </c>
      <c r="B56" s="24" t="str">
        <f aca="false">IF(LEN(A56&amp;"")=0,"",IF(ISNUMBER(M56),K56&amp;"/"&amp;TEXT(L56,"00")&amp;"/"&amp;TEXT(M56,"00"),"تاریخ خارج از بازه"))</f>
        <v/>
      </c>
      <c r="C56" s="25" t="str">
        <f aca="false">IF(A56="","",G55)</f>
        <v/>
      </c>
      <c r="D56" s="25" t="str">
        <f aca="false">IF(A56="","",ROUND(C56*'ورودی و مقایسه'!$B$5/12,0))</f>
        <v/>
      </c>
      <c r="E56" s="25" t="str">
        <f aca="false">IF(LEN(A56&amp;"")=0,"",IF(A56='ورودی و مقایسه'!$B$6,C56,MAX(0,MIN(C56,$C$4))))</f>
        <v/>
      </c>
      <c r="F56" s="25" t="str">
        <f aca="false">IF(A56="","",D56+E56)</f>
        <v/>
      </c>
      <c r="G56" s="25" t="str">
        <f aca="false">IF(A56="","",C56-E56)</f>
        <v/>
      </c>
      <c r="J56" s="20" t="n">
        <f aca="false">IF(AND('ورودی و مقایسه'!$B$14="آماده",ISNUMBER('ورودی و مقایسه'!$N$7)),('ورودی و مقایسه'!$L$7-1)+48,"")</f>
        <v>56</v>
      </c>
      <c r="K56" s="20" t="n">
        <f aca="false">IF(ISNUMBER(J56),'ورودی و مقایسه'!$K$7+INT(J56/12),"")</f>
        <v>1409</v>
      </c>
      <c r="L56" s="20" t="n">
        <f aca="false">IF(ISNUMBER(J56),MOD(J56,12)+1,"")</f>
        <v>9</v>
      </c>
      <c r="M56" s="20" t="n">
        <f aca="false">IF(NOT(ISNUMBER(J56)),"",IFERROR(IF(OR(K56&lt;1390,K56&gt;1429),"",MIN('ورودی و مقایسه'!$M$7,IF(L56&lt;=6,31,IF(L56&lt;=11,30,VLOOKUP(K56+1,تقویم!$A$2:$B$42,2,0)-VLOOKUP(K56,تقویم!$A$2:$B$42,2,0)-336)))),""))</f>
        <v>5</v>
      </c>
    </row>
    <row r="57" customFormat="false" ht="15" hidden="false" customHeight="true" outlineLevel="0" collapsed="false">
      <c r="A57" s="26" t="str">
        <f aca="false">IF('ورودی و مقایسه'!$B$14="آماده",IF(50&lt;='ورودی و مقایسه'!$B$6,50,""),"")</f>
        <v/>
      </c>
      <c r="B57" s="26" t="str">
        <f aca="false">IF(LEN(A57&amp;"")=0,"",IF(ISNUMBER(M57),K57&amp;"/"&amp;TEXT(L57,"00")&amp;"/"&amp;TEXT(M57,"00"),"تاریخ خارج از بازه"))</f>
        <v/>
      </c>
      <c r="C57" s="27" t="str">
        <f aca="false">IF(A57="","",G56)</f>
        <v/>
      </c>
      <c r="D57" s="27" t="str">
        <f aca="false">IF(A57="","",ROUND(C57*'ورودی و مقایسه'!$B$5/12,0))</f>
        <v/>
      </c>
      <c r="E57" s="27" t="str">
        <f aca="false">IF(LEN(A57&amp;"")=0,"",IF(A57='ورودی و مقایسه'!$B$6,C57,MAX(0,MIN(C57,$C$4))))</f>
        <v/>
      </c>
      <c r="F57" s="27" t="str">
        <f aca="false">IF(A57="","",D57+E57)</f>
        <v/>
      </c>
      <c r="G57" s="27" t="str">
        <f aca="false">IF(A57="","",C57-E57)</f>
        <v/>
      </c>
      <c r="J57" s="20" t="n">
        <f aca="false">IF(AND('ورودی و مقایسه'!$B$14="آماده",ISNUMBER('ورودی و مقایسه'!$N$7)),('ورودی و مقایسه'!$L$7-1)+49,"")</f>
        <v>57</v>
      </c>
      <c r="K57" s="20" t="n">
        <f aca="false">IF(ISNUMBER(J57),'ورودی و مقایسه'!$K$7+INT(J57/12),"")</f>
        <v>1409</v>
      </c>
      <c r="L57" s="20" t="n">
        <f aca="false">IF(ISNUMBER(J57),MOD(J57,12)+1,"")</f>
        <v>10</v>
      </c>
      <c r="M57" s="20" t="n">
        <f aca="false">IF(NOT(ISNUMBER(J57)),"",IFERROR(IF(OR(K57&lt;1390,K57&gt;1429),"",MIN('ورودی و مقایسه'!$M$7,IF(L57&lt;=6,31,IF(L57&lt;=11,30,VLOOKUP(K57+1,تقویم!$A$2:$B$42,2,0)-VLOOKUP(K57,تقویم!$A$2:$B$42,2,0)-336)))),""))</f>
        <v>5</v>
      </c>
    </row>
    <row r="58" customFormat="false" ht="15" hidden="false" customHeight="true" outlineLevel="0" collapsed="false">
      <c r="A58" s="24" t="str">
        <f aca="false">IF('ورودی و مقایسه'!$B$14="آماده",IF(51&lt;='ورودی و مقایسه'!$B$6,51,""),"")</f>
        <v/>
      </c>
      <c r="B58" s="24" t="str">
        <f aca="false">IF(LEN(A58&amp;"")=0,"",IF(ISNUMBER(M58),K58&amp;"/"&amp;TEXT(L58,"00")&amp;"/"&amp;TEXT(M58,"00"),"تاریخ خارج از بازه"))</f>
        <v/>
      </c>
      <c r="C58" s="25" t="str">
        <f aca="false">IF(A58="","",G57)</f>
        <v/>
      </c>
      <c r="D58" s="25" t="str">
        <f aca="false">IF(A58="","",ROUND(C58*'ورودی و مقایسه'!$B$5/12,0))</f>
        <v/>
      </c>
      <c r="E58" s="25" t="str">
        <f aca="false">IF(LEN(A58&amp;"")=0,"",IF(A58='ورودی و مقایسه'!$B$6,C58,MAX(0,MIN(C58,$C$4))))</f>
        <v/>
      </c>
      <c r="F58" s="25" t="str">
        <f aca="false">IF(A58="","",D58+E58)</f>
        <v/>
      </c>
      <c r="G58" s="25" t="str">
        <f aca="false">IF(A58="","",C58-E58)</f>
        <v/>
      </c>
      <c r="J58" s="20" t="n">
        <f aca="false">IF(AND('ورودی و مقایسه'!$B$14="آماده",ISNUMBER('ورودی و مقایسه'!$N$7)),('ورودی و مقایسه'!$L$7-1)+50,"")</f>
        <v>58</v>
      </c>
      <c r="K58" s="20" t="n">
        <f aca="false">IF(ISNUMBER(J58),'ورودی و مقایسه'!$K$7+INT(J58/12),"")</f>
        <v>1409</v>
      </c>
      <c r="L58" s="20" t="n">
        <f aca="false">IF(ISNUMBER(J58),MOD(J58,12)+1,"")</f>
        <v>11</v>
      </c>
      <c r="M58" s="20" t="n">
        <f aca="false">IF(NOT(ISNUMBER(J58)),"",IFERROR(IF(OR(K58&lt;1390,K58&gt;1429),"",MIN('ورودی و مقایسه'!$M$7,IF(L58&lt;=6,31,IF(L58&lt;=11,30,VLOOKUP(K58+1,تقویم!$A$2:$B$42,2,0)-VLOOKUP(K58,تقویم!$A$2:$B$42,2,0)-336)))),""))</f>
        <v>5</v>
      </c>
    </row>
    <row r="59" customFormat="false" ht="15" hidden="false" customHeight="true" outlineLevel="0" collapsed="false">
      <c r="A59" s="26" t="str">
        <f aca="false">IF('ورودی و مقایسه'!$B$14="آماده",IF(52&lt;='ورودی و مقایسه'!$B$6,52,""),"")</f>
        <v/>
      </c>
      <c r="B59" s="26" t="str">
        <f aca="false">IF(LEN(A59&amp;"")=0,"",IF(ISNUMBER(M59),K59&amp;"/"&amp;TEXT(L59,"00")&amp;"/"&amp;TEXT(M59,"00"),"تاریخ خارج از بازه"))</f>
        <v/>
      </c>
      <c r="C59" s="27" t="str">
        <f aca="false">IF(A59="","",G58)</f>
        <v/>
      </c>
      <c r="D59" s="27" t="str">
        <f aca="false">IF(A59="","",ROUND(C59*'ورودی و مقایسه'!$B$5/12,0))</f>
        <v/>
      </c>
      <c r="E59" s="27" t="str">
        <f aca="false">IF(LEN(A59&amp;"")=0,"",IF(A59='ورودی و مقایسه'!$B$6,C59,MAX(0,MIN(C59,$C$4))))</f>
        <v/>
      </c>
      <c r="F59" s="27" t="str">
        <f aca="false">IF(A59="","",D59+E59)</f>
        <v/>
      </c>
      <c r="G59" s="27" t="str">
        <f aca="false">IF(A59="","",C59-E59)</f>
        <v/>
      </c>
      <c r="J59" s="20" t="n">
        <f aca="false">IF(AND('ورودی و مقایسه'!$B$14="آماده",ISNUMBER('ورودی و مقایسه'!$N$7)),('ورودی و مقایسه'!$L$7-1)+51,"")</f>
        <v>59</v>
      </c>
      <c r="K59" s="20" t="n">
        <f aca="false">IF(ISNUMBER(J59),'ورودی و مقایسه'!$K$7+INT(J59/12),"")</f>
        <v>1409</v>
      </c>
      <c r="L59" s="20" t="n">
        <f aca="false">IF(ISNUMBER(J59),MOD(J59,12)+1,"")</f>
        <v>12</v>
      </c>
      <c r="M59" s="20" t="n">
        <f aca="false">IF(NOT(ISNUMBER(J59)),"",IFERROR(IF(OR(K59&lt;1390,K59&gt;1429),"",MIN('ورودی و مقایسه'!$M$7,IF(L59&lt;=6,31,IF(L59&lt;=11,30,VLOOKUP(K59+1,تقویم!$A$2:$B$42,2,0)-VLOOKUP(K59,تقویم!$A$2:$B$42,2,0)-336)))),""))</f>
        <v>5</v>
      </c>
    </row>
    <row r="60" customFormat="false" ht="15" hidden="false" customHeight="true" outlineLevel="0" collapsed="false">
      <c r="A60" s="24" t="str">
        <f aca="false">IF('ورودی و مقایسه'!$B$14="آماده",IF(53&lt;='ورودی و مقایسه'!$B$6,53,""),"")</f>
        <v/>
      </c>
      <c r="B60" s="24" t="str">
        <f aca="false">IF(LEN(A60&amp;"")=0,"",IF(ISNUMBER(M60),K60&amp;"/"&amp;TEXT(L60,"00")&amp;"/"&amp;TEXT(M60,"00"),"تاریخ خارج از بازه"))</f>
        <v/>
      </c>
      <c r="C60" s="25" t="str">
        <f aca="false">IF(A60="","",G59)</f>
        <v/>
      </c>
      <c r="D60" s="25" t="str">
        <f aca="false">IF(A60="","",ROUND(C60*'ورودی و مقایسه'!$B$5/12,0))</f>
        <v/>
      </c>
      <c r="E60" s="25" t="str">
        <f aca="false">IF(LEN(A60&amp;"")=0,"",IF(A60='ورودی و مقایسه'!$B$6,C60,MAX(0,MIN(C60,$C$4))))</f>
        <v/>
      </c>
      <c r="F60" s="25" t="str">
        <f aca="false">IF(A60="","",D60+E60)</f>
        <v/>
      </c>
      <c r="G60" s="25" t="str">
        <f aca="false">IF(A60="","",C60-E60)</f>
        <v/>
      </c>
      <c r="J60" s="20" t="n">
        <f aca="false">IF(AND('ورودی و مقایسه'!$B$14="آماده",ISNUMBER('ورودی و مقایسه'!$N$7)),('ورودی و مقایسه'!$L$7-1)+52,"")</f>
        <v>60</v>
      </c>
      <c r="K60" s="20" t="n">
        <f aca="false">IF(ISNUMBER(J60),'ورودی و مقایسه'!$K$7+INT(J60/12),"")</f>
        <v>1410</v>
      </c>
      <c r="L60" s="20" t="n">
        <f aca="false">IF(ISNUMBER(J60),MOD(J60,12)+1,"")</f>
        <v>1</v>
      </c>
      <c r="M60" s="20" t="n">
        <f aca="false">IF(NOT(ISNUMBER(J60)),"",IFERROR(IF(OR(K60&lt;1390,K60&gt;1429),"",MIN('ورودی و مقایسه'!$M$7,IF(L60&lt;=6,31,IF(L60&lt;=11,30,VLOOKUP(K60+1,تقویم!$A$2:$B$42,2,0)-VLOOKUP(K60,تقویم!$A$2:$B$42,2,0)-336)))),""))</f>
        <v>5</v>
      </c>
    </row>
    <row r="61" customFormat="false" ht="15" hidden="false" customHeight="true" outlineLevel="0" collapsed="false">
      <c r="A61" s="26" t="str">
        <f aca="false">IF('ورودی و مقایسه'!$B$14="آماده",IF(54&lt;='ورودی و مقایسه'!$B$6,54,""),"")</f>
        <v/>
      </c>
      <c r="B61" s="26" t="str">
        <f aca="false">IF(LEN(A61&amp;"")=0,"",IF(ISNUMBER(M61),K61&amp;"/"&amp;TEXT(L61,"00")&amp;"/"&amp;TEXT(M61,"00"),"تاریخ خارج از بازه"))</f>
        <v/>
      </c>
      <c r="C61" s="27" t="str">
        <f aca="false">IF(A61="","",G60)</f>
        <v/>
      </c>
      <c r="D61" s="27" t="str">
        <f aca="false">IF(A61="","",ROUND(C61*'ورودی و مقایسه'!$B$5/12,0))</f>
        <v/>
      </c>
      <c r="E61" s="27" t="str">
        <f aca="false">IF(LEN(A61&amp;"")=0,"",IF(A61='ورودی و مقایسه'!$B$6,C61,MAX(0,MIN(C61,$C$4))))</f>
        <v/>
      </c>
      <c r="F61" s="27" t="str">
        <f aca="false">IF(A61="","",D61+E61)</f>
        <v/>
      </c>
      <c r="G61" s="27" t="str">
        <f aca="false">IF(A61="","",C61-E61)</f>
        <v/>
      </c>
      <c r="J61" s="20" t="n">
        <f aca="false">IF(AND('ورودی و مقایسه'!$B$14="آماده",ISNUMBER('ورودی و مقایسه'!$N$7)),('ورودی و مقایسه'!$L$7-1)+53,"")</f>
        <v>61</v>
      </c>
      <c r="K61" s="20" t="n">
        <f aca="false">IF(ISNUMBER(J61),'ورودی و مقایسه'!$K$7+INT(J61/12),"")</f>
        <v>1410</v>
      </c>
      <c r="L61" s="20" t="n">
        <f aca="false">IF(ISNUMBER(J61),MOD(J61,12)+1,"")</f>
        <v>2</v>
      </c>
      <c r="M61" s="20" t="n">
        <f aca="false">IF(NOT(ISNUMBER(J61)),"",IFERROR(IF(OR(K61&lt;1390,K61&gt;1429),"",MIN('ورودی و مقایسه'!$M$7,IF(L61&lt;=6,31,IF(L61&lt;=11,30,VLOOKUP(K61+1,تقویم!$A$2:$B$42,2,0)-VLOOKUP(K61,تقویم!$A$2:$B$42,2,0)-336)))),""))</f>
        <v>5</v>
      </c>
    </row>
    <row r="62" customFormat="false" ht="15" hidden="false" customHeight="true" outlineLevel="0" collapsed="false">
      <c r="A62" s="24" t="str">
        <f aca="false">IF('ورودی و مقایسه'!$B$14="آماده",IF(55&lt;='ورودی و مقایسه'!$B$6,55,""),"")</f>
        <v/>
      </c>
      <c r="B62" s="24" t="str">
        <f aca="false">IF(LEN(A62&amp;"")=0,"",IF(ISNUMBER(M62),K62&amp;"/"&amp;TEXT(L62,"00")&amp;"/"&amp;TEXT(M62,"00"),"تاریخ خارج از بازه"))</f>
        <v/>
      </c>
      <c r="C62" s="25" t="str">
        <f aca="false">IF(A62="","",G61)</f>
        <v/>
      </c>
      <c r="D62" s="25" t="str">
        <f aca="false">IF(A62="","",ROUND(C62*'ورودی و مقایسه'!$B$5/12,0))</f>
        <v/>
      </c>
      <c r="E62" s="25" t="str">
        <f aca="false">IF(LEN(A62&amp;"")=0,"",IF(A62='ورودی و مقایسه'!$B$6,C62,MAX(0,MIN(C62,$C$4))))</f>
        <v/>
      </c>
      <c r="F62" s="25" t="str">
        <f aca="false">IF(A62="","",D62+E62)</f>
        <v/>
      </c>
      <c r="G62" s="25" t="str">
        <f aca="false">IF(A62="","",C62-E62)</f>
        <v/>
      </c>
      <c r="J62" s="20" t="n">
        <f aca="false">IF(AND('ورودی و مقایسه'!$B$14="آماده",ISNUMBER('ورودی و مقایسه'!$N$7)),('ورودی و مقایسه'!$L$7-1)+54,"")</f>
        <v>62</v>
      </c>
      <c r="K62" s="20" t="n">
        <f aca="false">IF(ISNUMBER(J62),'ورودی و مقایسه'!$K$7+INT(J62/12),"")</f>
        <v>1410</v>
      </c>
      <c r="L62" s="20" t="n">
        <f aca="false">IF(ISNUMBER(J62),MOD(J62,12)+1,"")</f>
        <v>3</v>
      </c>
      <c r="M62" s="20" t="n">
        <f aca="false">IF(NOT(ISNUMBER(J62)),"",IFERROR(IF(OR(K62&lt;1390,K62&gt;1429),"",MIN('ورودی و مقایسه'!$M$7,IF(L62&lt;=6,31,IF(L62&lt;=11,30,VLOOKUP(K62+1,تقویم!$A$2:$B$42,2,0)-VLOOKUP(K62,تقویم!$A$2:$B$42,2,0)-336)))),""))</f>
        <v>5</v>
      </c>
    </row>
    <row r="63" customFormat="false" ht="15" hidden="false" customHeight="true" outlineLevel="0" collapsed="false">
      <c r="A63" s="26" t="str">
        <f aca="false">IF('ورودی و مقایسه'!$B$14="آماده",IF(56&lt;='ورودی و مقایسه'!$B$6,56,""),"")</f>
        <v/>
      </c>
      <c r="B63" s="26" t="str">
        <f aca="false">IF(LEN(A63&amp;"")=0,"",IF(ISNUMBER(M63),K63&amp;"/"&amp;TEXT(L63,"00")&amp;"/"&amp;TEXT(M63,"00"),"تاریخ خارج از بازه"))</f>
        <v/>
      </c>
      <c r="C63" s="27" t="str">
        <f aca="false">IF(A63="","",G62)</f>
        <v/>
      </c>
      <c r="D63" s="27" t="str">
        <f aca="false">IF(A63="","",ROUND(C63*'ورودی و مقایسه'!$B$5/12,0))</f>
        <v/>
      </c>
      <c r="E63" s="27" t="str">
        <f aca="false">IF(LEN(A63&amp;"")=0,"",IF(A63='ورودی و مقایسه'!$B$6,C63,MAX(0,MIN(C63,$C$4))))</f>
        <v/>
      </c>
      <c r="F63" s="27" t="str">
        <f aca="false">IF(A63="","",D63+E63)</f>
        <v/>
      </c>
      <c r="G63" s="27" t="str">
        <f aca="false">IF(A63="","",C63-E63)</f>
        <v/>
      </c>
      <c r="J63" s="20" t="n">
        <f aca="false">IF(AND('ورودی و مقایسه'!$B$14="آماده",ISNUMBER('ورودی و مقایسه'!$N$7)),('ورودی و مقایسه'!$L$7-1)+55,"")</f>
        <v>63</v>
      </c>
      <c r="K63" s="20" t="n">
        <f aca="false">IF(ISNUMBER(J63),'ورودی و مقایسه'!$K$7+INT(J63/12),"")</f>
        <v>1410</v>
      </c>
      <c r="L63" s="20" t="n">
        <f aca="false">IF(ISNUMBER(J63),MOD(J63,12)+1,"")</f>
        <v>4</v>
      </c>
      <c r="M63" s="20" t="n">
        <f aca="false">IF(NOT(ISNUMBER(J63)),"",IFERROR(IF(OR(K63&lt;1390,K63&gt;1429),"",MIN('ورودی و مقایسه'!$M$7,IF(L63&lt;=6,31,IF(L63&lt;=11,30,VLOOKUP(K63+1,تقویم!$A$2:$B$42,2,0)-VLOOKUP(K63,تقویم!$A$2:$B$42,2,0)-336)))),""))</f>
        <v>5</v>
      </c>
    </row>
    <row r="64" customFormat="false" ht="15" hidden="false" customHeight="true" outlineLevel="0" collapsed="false">
      <c r="A64" s="24" t="str">
        <f aca="false">IF('ورودی و مقایسه'!$B$14="آماده",IF(57&lt;='ورودی و مقایسه'!$B$6,57,""),"")</f>
        <v/>
      </c>
      <c r="B64" s="24" t="str">
        <f aca="false">IF(LEN(A64&amp;"")=0,"",IF(ISNUMBER(M64),K64&amp;"/"&amp;TEXT(L64,"00")&amp;"/"&amp;TEXT(M64,"00"),"تاریخ خارج از بازه"))</f>
        <v/>
      </c>
      <c r="C64" s="25" t="str">
        <f aca="false">IF(A64="","",G63)</f>
        <v/>
      </c>
      <c r="D64" s="25" t="str">
        <f aca="false">IF(A64="","",ROUND(C64*'ورودی و مقایسه'!$B$5/12,0))</f>
        <v/>
      </c>
      <c r="E64" s="25" t="str">
        <f aca="false">IF(LEN(A64&amp;"")=0,"",IF(A64='ورودی و مقایسه'!$B$6,C64,MAX(0,MIN(C64,$C$4))))</f>
        <v/>
      </c>
      <c r="F64" s="25" t="str">
        <f aca="false">IF(A64="","",D64+E64)</f>
        <v/>
      </c>
      <c r="G64" s="25" t="str">
        <f aca="false">IF(A64="","",C64-E64)</f>
        <v/>
      </c>
      <c r="J64" s="20" t="n">
        <f aca="false">IF(AND('ورودی و مقایسه'!$B$14="آماده",ISNUMBER('ورودی و مقایسه'!$N$7)),('ورودی و مقایسه'!$L$7-1)+56,"")</f>
        <v>64</v>
      </c>
      <c r="K64" s="20" t="n">
        <f aca="false">IF(ISNUMBER(J64),'ورودی و مقایسه'!$K$7+INT(J64/12),"")</f>
        <v>1410</v>
      </c>
      <c r="L64" s="20" t="n">
        <f aca="false">IF(ISNUMBER(J64),MOD(J64,12)+1,"")</f>
        <v>5</v>
      </c>
      <c r="M64" s="20" t="n">
        <f aca="false">IF(NOT(ISNUMBER(J64)),"",IFERROR(IF(OR(K64&lt;1390,K64&gt;1429),"",MIN('ورودی و مقایسه'!$M$7,IF(L64&lt;=6,31,IF(L64&lt;=11,30,VLOOKUP(K64+1,تقویم!$A$2:$B$42,2,0)-VLOOKUP(K64,تقویم!$A$2:$B$42,2,0)-336)))),""))</f>
        <v>5</v>
      </c>
    </row>
    <row r="65" customFormat="false" ht="15" hidden="false" customHeight="true" outlineLevel="0" collapsed="false">
      <c r="A65" s="26" t="str">
        <f aca="false">IF('ورودی و مقایسه'!$B$14="آماده",IF(58&lt;='ورودی و مقایسه'!$B$6,58,""),"")</f>
        <v/>
      </c>
      <c r="B65" s="26" t="str">
        <f aca="false">IF(LEN(A65&amp;"")=0,"",IF(ISNUMBER(M65),K65&amp;"/"&amp;TEXT(L65,"00")&amp;"/"&amp;TEXT(M65,"00"),"تاریخ خارج از بازه"))</f>
        <v/>
      </c>
      <c r="C65" s="27" t="str">
        <f aca="false">IF(A65="","",G64)</f>
        <v/>
      </c>
      <c r="D65" s="27" t="str">
        <f aca="false">IF(A65="","",ROUND(C65*'ورودی و مقایسه'!$B$5/12,0))</f>
        <v/>
      </c>
      <c r="E65" s="27" t="str">
        <f aca="false">IF(LEN(A65&amp;"")=0,"",IF(A65='ورودی و مقایسه'!$B$6,C65,MAX(0,MIN(C65,$C$4))))</f>
        <v/>
      </c>
      <c r="F65" s="27" t="str">
        <f aca="false">IF(A65="","",D65+E65)</f>
        <v/>
      </c>
      <c r="G65" s="27" t="str">
        <f aca="false">IF(A65="","",C65-E65)</f>
        <v/>
      </c>
      <c r="J65" s="20" t="n">
        <f aca="false">IF(AND('ورودی و مقایسه'!$B$14="آماده",ISNUMBER('ورودی و مقایسه'!$N$7)),('ورودی و مقایسه'!$L$7-1)+57,"")</f>
        <v>65</v>
      </c>
      <c r="K65" s="20" t="n">
        <f aca="false">IF(ISNUMBER(J65),'ورودی و مقایسه'!$K$7+INT(J65/12),"")</f>
        <v>1410</v>
      </c>
      <c r="L65" s="20" t="n">
        <f aca="false">IF(ISNUMBER(J65),MOD(J65,12)+1,"")</f>
        <v>6</v>
      </c>
      <c r="M65" s="20" t="n">
        <f aca="false">IF(NOT(ISNUMBER(J65)),"",IFERROR(IF(OR(K65&lt;1390,K65&gt;1429),"",MIN('ورودی و مقایسه'!$M$7,IF(L65&lt;=6,31,IF(L65&lt;=11,30,VLOOKUP(K65+1,تقویم!$A$2:$B$42,2,0)-VLOOKUP(K65,تقویم!$A$2:$B$42,2,0)-336)))),""))</f>
        <v>5</v>
      </c>
    </row>
    <row r="66" customFormat="false" ht="15" hidden="false" customHeight="true" outlineLevel="0" collapsed="false">
      <c r="A66" s="24" t="str">
        <f aca="false">IF('ورودی و مقایسه'!$B$14="آماده",IF(59&lt;='ورودی و مقایسه'!$B$6,59,""),"")</f>
        <v/>
      </c>
      <c r="B66" s="24" t="str">
        <f aca="false">IF(LEN(A66&amp;"")=0,"",IF(ISNUMBER(M66),K66&amp;"/"&amp;TEXT(L66,"00")&amp;"/"&amp;TEXT(M66,"00"),"تاریخ خارج از بازه"))</f>
        <v/>
      </c>
      <c r="C66" s="25" t="str">
        <f aca="false">IF(A66="","",G65)</f>
        <v/>
      </c>
      <c r="D66" s="25" t="str">
        <f aca="false">IF(A66="","",ROUND(C66*'ورودی و مقایسه'!$B$5/12,0))</f>
        <v/>
      </c>
      <c r="E66" s="25" t="str">
        <f aca="false">IF(LEN(A66&amp;"")=0,"",IF(A66='ورودی و مقایسه'!$B$6,C66,MAX(0,MIN(C66,$C$4))))</f>
        <v/>
      </c>
      <c r="F66" s="25" t="str">
        <f aca="false">IF(A66="","",D66+E66)</f>
        <v/>
      </c>
      <c r="G66" s="25" t="str">
        <f aca="false">IF(A66="","",C66-E66)</f>
        <v/>
      </c>
      <c r="J66" s="20" t="n">
        <f aca="false">IF(AND('ورودی و مقایسه'!$B$14="آماده",ISNUMBER('ورودی و مقایسه'!$N$7)),('ورودی و مقایسه'!$L$7-1)+58,"")</f>
        <v>66</v>
      </c>
      <c r="K66" s="20" t="n">
        <f aca="false">IF(ISNUMBER(J66),'ورودی و مقایسه'!$K$7+INT(J66/12),"")</f>
        <v>1410</v>
      </c>
      <c r="L66" s="20" t="n">
        <f aca="false">IF(ISNUMBER(J66),MOD(J66,12)+1,"")</f>
        <v>7</v>
      </c>
      <c r="M66" s="20" t="n">
        <f aca="false">IF(NOT(ISNUMBER(J66)),"",IFERROR(IF(OR(K66&lt;1390,K66&gt;1429),"",MIN('ورودی و مقایسه'!$M$7,IF(L66&lt;=6,31,IF(L66&lt;=11,30,VLOOKUP(K66+1,تقویم!$A$2:$B$42,2,0)-VLOOKUP(K66,تقویم!$A$2:$B$42,2,0)-336)))),""))</f>
        <v>5</v>
      </c>
    </row>
    <row r="67" customFormat="false" ht="15" hidden="false" customHeight="true" outlineLevel="0" collapsed="false">
      <c r="A67" s="26" t="str">
        <f aca="false">IF('ورودی و مقایسه'!$B$14="آماده",IF(60&lt;='ورودی و مقایسه'!$B$6,60,""),"")</f>
        <v/>
      </c>
      <c r="B67" s="26" t="str">
        <f aca="false">IF(LEN(A67&amp;"")=0,"",IF(ISNUMBER(M67),K67&amp;"/"&amp;TEXT(L67,"00")&amp;"/"&amp;TEXT(M67,"00"),"تاریخ خارج از بازه"))</f>
        <v/>
      </c>
      <c r="C67" s="27" t="str">
        <f aca="false">IF(A67="","",G66)</f>
        <v/>
      </c>
      <c r="D67" s="27" t="str">
        <f aca="false">IF(A67="","",ROUND(C67*'ورودی و مقایسه'!$B$5/12,0))</f>
        <v/>
      </c>
      <c r="E67" s="27" t="str">
        <f aca="false">IF(LEN(A67&amp;"")=0,"",IF(A67='ورودی و مقایسه'!$B$6,C67,MAX(0,MIN(C67,$C$4))))</f>
        <v/>
      </c>
      <c r="F67" s="27" t="str">
        <f aca="false">IF(A67="","",D67+E67)</f>
        <v/>
      </c>
      <c r="G67" s="27" t="str">
        <f aca="false">IF(A67="","",C67-E67)</f>
        <v/>
      </c>
      <c r="J67" s="20" t="n">
        <f aca="false">IF(AND('ورودی و مقایسه'!$B$14="آماده",ISNUMBER('ورودی و مقایسه'!$N$7)),('ورودی و مقایسه'!$L$7-1)+59,"")</f>
        <v>67</v>
      </c>
      <c r="K67" s="20" t="n">
        <f aca="false">IF(ISNUMBER(J67),'ورودی و مقایسه'!$K$7+INT(J67/12),"")</f>
        <v>1410</v>
      </c>
      <c r="L67" s="20" t="n">
        <f aca="false">IF(ISNUMBER(J67),MOD(J67,12)+1,"")</f>
        <v>8</v>
      </c>
      <c r="M67" s="20" t="n">
        <f aca="false">IF(NOT(ISNUMBER(J67)),"",IFERROR(IF(OR(K67&lt;1390,K67&gt;1429),"",MIN('ورودی و مقایسه'!$M$7,IF(L67&lt;=6,31,IF(L67&lt;=11,30,VLOOKUP(K67+1,تقویم!$A$2:$B$42,2,0)-VLOOKUP(K67,تقویم!$A$2:$B$42,2,0)-336)))),""))</f>
        <v>5</v>
      </c>
    </row>
  </sheetData>
  <sheetProtection sheet="true" formatColumns="false" formatRows="false"/>
  <mergeCells count="3">
    <mergeCell ref="A1:G1"/>
    <mergeCell ref="A2:G2"/>
    <mergeCell ref="A4:B4"/>
  </mergeCells>
  <conditionalFormatting sqref="B8:B67">
    <cfRule type="containsText" priority="2" operator="containsText" aboveAverage="0" equalAverage="0" bottom="0" percent="0" rank="0" text="نامعتبر" dxfId="0">
      <formula>NOT(ISERROR(SEARCH("نامعتبر",B8)))</formula>
    </cfRule>
    <cfRule type="containsText" priority="3" operator="containsText" aboveAverage="0" equalAverage="0" bottom="0" percent="0" rank="0" text="ناقص" dxfId="0">
      <formula>NOT(ISERROR(SEARCH("ناقص",B8)))</formula>
    </cfRule>
    <cfRule type="containsText" priority="4" operator="containsText" aboveAverage="0" equalAverage="0" bottom="0" percent="0" rank="0" text="تعریف‌نشده" dxfId="0">
      <formula>NOT(ISERROR(SEARCH("تعریف‌نشده",B8)))</formula>
    </cfRule>
    <cfRule type="containsText" priority="5" operator="containsText" aboveAverage="0" equalAverage="0" bottom="0" percent="0" rank="0" text="بیش از" dxfId="0">
      <formula>NOT(ISERROR(SEARCH("بیش از",B8)))</formula>
    </cfRule>
    <cfRule type="containsText" priority="6" operator="containsText" aboveAverage="0" equalAverage="0" bottom="0" percent="0" rank="0" text="اصلاح کنید" dxfId="0">
      <formula>NOT(ISERROR(SEARCH("اصلاح کنید",B8)))</formula>
    </cfRule>
    <cfRule type="containsText" priority="7" operator="containsText" aboveAverage="0" equalAverage="0" bottom="0" percent="0" rank="0" text="وارد کنید" dxfId="0">
      <formula>NOT(ISERROR(SEARCH("وارد کنید",B8)))</formula>
    </cfRule>
  </conditionalFormatting>
  <conditionalFormatting sqref="C4:F4">
    <cfRule type="containsText" priority="8" operator="containsText" aboveAverage="0" equalAverage="0" bottom="0" percent="0" rank="0" text="نامعتبر" dxfId="0">
      <formula>NOT(ISERROR(SEARCH("نامعتبر",C4)))</formula>
    </cfRule>
    <cfRule type="containsText" priority="9" operator="containsText" aboveAverage="0" equalAverage="0" bottom="0" percent="0" rank="0" text="ناقص" dxfId="0">
      <formula>NOT(ISERROR(SEARCH("ناقص",C4)))</formula>
    </cfRule>
    <cfRule type="containsText" priority="10" operator="containsText" aboveAverage="0" equalAverage="0" bottom="0" percent="0" rank="0" text="تعریف‌نشده" dxfId="0">
      <formula>NOT(ISERROR(SEARCH("تعریف‌نشده",C4)))</formula>
    </cfRule>
    <cfRule type="containsText" priority="11" operator="containsText" aboveAverage="0" equalAverage="0" bottom="0" percent="0" rank="0" text="بیش از" dxfId="0">
      <formula>NOT(ISERROR(SEARCH("بیش از",C4)))</formula>
    </cfRule>
    <cfRule type="containsText" priority="12" operator="containsText" aboveAverage="0" equalAverage="0" bottom="0" percent="0" rank="0" text="اصلاح کنید" dxfId="0">
      <formula>NOT(ISERROR(SEARCH("اصلاح کنید",C4)))</formula>
    </cfRule>
    <cfRule type="containsText" priority="13" operator="containsText" aboveAverage="0" equalAverage="0" bottom="0" percent="0" rank="0" text="وارد کنید" dxfId="0">
      <formula>NOT(ISERROR(SEARCH("وارد کنید",C4)))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M6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4"/>
    <col collapsed="false" customWidth="true" hidden="false" outlineLevel="0" max="3" min="3" style="1" width="18"/>
    <col collapsed="false" customWidth="true" hidden="false" outlineLevel="0" max="6" min="4" style="1" width="16"/>
    <col collapsed="false" customWidth="true" hidden="false" outlineLevel="0" max="7" min="7" style="1" width="18"/>
    <col collapsed="false" customWidth="true" hidden="true" outlineLevel="0" max="13" min="10" style="1" width="13"/>
  </cols>
  <sheetData>
    <row r="1" customFormat="false" ht="30" hidden="false" customHeight="true" outlineLevel="0" collapsed="false">
      <c r="A1" s="10" t="s">
        <v>44</v>
      </c>
      <c r="B1" s="10"/>
      <c r="C1" s="10"/>
      <c r="D1" s="10"/>
      <c r="E1" s="10"/>
      <c r="F1" s="10"/>
      <c r="G1" s="10"/>
    </row>
    <row r="2" customFormat="false" ht="27.75" hidden="false" customHeight="true" outlineLevel="0" collapsed="false">
      <c r="A2" s="11" t="s">
        <v>45</v>
      </c>
      <c r="B2" s="11"/>
      <c r="C2" s="11"/>
      <c r="D2" s="11"/>
      <c r="E2" s="11"/>
      <c r="F2" s="11"/>
      <c r="G2" s="11"/>
    </row>
    <row r="4" customFormat="false" ht="15" hidden="false" customHeight="true" outlineLevel="0" collapsed="false">
      <c r="A4" s="23" t="s">
        <v>46</v>
      </c>
      <c r="B4" s="23"/>
      <c r="C4" s="19" t="n">
        <f aca="false">IF('ورودی و مقایسه'!$B$14="آماده",ROUND('ورودی و مقایسه'!$B$4*'ورودی و مقایسه'!$B$5*('ورودی و مقایسه'!$B$6+1)/24,0),"ورودی نامعتبر")</f>
        <v>9750000</v>
      </c>
      <c r="D4" s="4" t="s">
        <v>34</v>
      </c>
      <c r="F4" s="19" t="n">
        <f aca="false">IF('ورودی و مقایسه'!$B$14="آماده",ROUND(('ورودی و مقایسه'!$B$4+C4)/'ورودی و مقایسه'!$B$6,0),"ورودی نامعتبر")</f>
        <v>9145833</v>
      </c>
    </row>
    <row r="7" customFormat="false" ht="30" hidden="false" customHeight="true" outlineLevel="0" collapsed="false">
      <c r="A7" s="18" t="s">
        <v>35</v>
      </c>
      <c r="B7" s="18" t="s">
        <v>36</v>
      </c>
      <c r="C7" s="18" t="s">
        <v>37</v>
      </c>
      <c r="D7" s="18" t="s">
        <v>38</v>
      </c>
      <c r="E7" s="18" t="s">
        <v>39</v>
      </c>
      <c r="F7" s="18" t="s">
        <v>40</v>
      </c>
      <c r="G7" s="18" t="s">
        <v>41</v>
      </c>
    </row>
    <row r="8" customFormat="false" ht="15" hidden="false" customHeight="true" outlineLevel="0" collapsed="false">
      <c r="A8" s="24" t="n">
        <f aca="false">IF('ورودی و مقایسه'!$B$14="آماده",IF(1&lt;='ورودی و مقایسه'!$B$6,1,""),"")</f>
        <v>1</v>
      </c>
      <c r="B8" s="24" t="str">
        <f aca="false">IF(LEN(A8&amp;"")=0,"",IF(ISNUMBER(M8),K8&amp;"/"&amp;TEXT(L8,"00")&amp;"/"&amp;TEXT(M8,"00"),"تاریخ خارج از بازه"))</f>
        <v>1405/09/05</v>
      </c>
      <c r="C8" s="25" t="n">
        <f aca="false">IF(A8="","",'ورودی و مقایسه'!$B$4)</f>
        <v>100000000</v>
      </c>
      <c r="D8" s="25" t="n">
        <f aca="false">IF(LEN(A8&amp;"")=0,"",ROUND($C$4*A8/'ورودی و مقایسه'!$B$6,0)-ROUND($C$4*(A8-1)/'ورودی و مقایسه'!$B$6,0))</f>
        <v>812500</v>
      </c>
      <c r="E8" s="25" t="n">
        <f aca="false">IF(LEN(A8&amp;"")=0,"",IF(A8='ورودی و مقایسه'!$B$6,C8,MAX(0,MIN(C8,$F$4-D8))))</f>
        <v>8333333</v>
      </c>
      <c r="F8" s="25" t="n">
        <f aca="false">IF(A8="","",D8+E8)</f>
        <v>9145833</v>
      </c>
      <c r="G8" s="25" t="n">
        <f aca="false">IF(A8="","",C8-E8)</f>
        <v>91666667</v>
      </c>
      <c r="J8" s="20" t="n">
        <f aca="false">IF(AND('ورودی و مقایسه'!$B$14="آماده",ISNUMBER('ورودی و مقایسه'!$N$7)),('ورودی و مقایسه'!$L$7-1)+0,"")</f>
        <v>8</v>
      </c>
      <c r="K8" s="20" t="n">
        <f aca="false">IF(ISNUMBER(J8),'ورودی و مقایسه'!$K$7+INT(J8/12),"")</f>
        <v>1405</v>
      </c>
      <c r="L8" s="20" t="n">
        <f aca="false">IF(ISNUMBER(J8),MOD(J8,12)+1,"")</f>
        <v>9</v>
      </c>
      <c r="M8" s="20" t="n">
        <f aca="false">IF(NOT(ISNUMBER(J8)),"",IFERROR(IF(OR(K8&lt;1390,K8&gt;1429),"",MIN('ورودی و مقایسه'!$M$7,IF(L8&lt;=6,31,IF(L8&lt;=11,30,VLOOKUP(K8+1,تقویم!$A$2:$B$42,2,0)-VLOOKUP(K8,تقویم!$A$2:$B$42,2,0)-336)))),""))</f>
        <v>5</v>
      </c>
    </row>
    <row r="9" customFormat="false" ht="15" hidden="false" customHeight="true" outlineLevel="0" collapsed="false">
      <c r="A9" s="26" t="n">
        <f aca="false">IF('ورودی و مقایسه'!$B$14="آماده",IF(2&lt;='ورودی و مقایسه'!$B$6,2,""),"")</f>
        <v>2</v>
      </c>
      <c r="B9" s="26" t="str">
        <f aca="false">IF(LEN(A9&amp;"")=0,"",IF(ISNUMBER(M9),K9&amp;"/"&amp;TEXT(L9,"00")&amp;"/"&amp;TEXT(M9,"00"),"تاریخ خارج از بازه"))</f>
        <v>1405/10/05</v>
      </c>
      <c r="C9" s="27" t="n">
        <f aca="false">IF(A9="","",G8)</f>
        <v>91666667</v>
      </c>
      <c r="D9" s="27" t="n">
        <f aca="false">IF(LEN(A9&amp;"")=0,"",ROUND($C$4*A9/'ورودی و مقایسه'!$B$6,0)-ROUND($C$4*(A9-1)/'ورودی و مقایسه'!$B$6,0))</f>
        <v>812500</v>
      </c>
      <c r="E9" s="27" t="n">
        <f aca="false">IF(LEN(A9&amp;"")=0,"",IF(A9='ورودی و مقایسه'!$B$6,C9,MAX(0,MIN(C9,$F$4-D9))))</f>
        <v>8333333</v>
      </c>
      <c r="F9" s="27" t="n">
        <f aca="false">IF(A9="","",D9+E9)</f>
        <v>9145833</v>
      </c>
      <c r="G9" s="27" t="n">
        <f aca="false">IF(A9="","",C9-E9)</f>
        <v>83333334</v>
      </c>
      <c r="J9" s="20" t="n">
        <f aca="false">IF(AND('ورودی و مقایسه'!$B$14="آماده",ISNUMBER('ورودی و مقایسه'!$N$7)),('ورودی و مقایسه'!$L$7-1)+1,"")</f>
        <v>9</v>
      </c>
      <c r="K9" s="20" t="n">
        <f aca="false">IF(ISNUMBER(J9),'ورودی و مقایسه'!$K$7+INT(J9/12),"")</f>
        <v>1405</v>
      </c>
      <c r="L9" s="20" t="n">
        <f aca="false">IF(ISNUMBER(J9),MOD(J9,12)+1,"")</f>
        <v>10</v>
      </c>
      <c r="M9" s="20" t="n">
        <f aca="false">IF(NOT(ISNUMBER(J9)),"",IFERROR(IF(OR(K9&lt;1390,K9&gt;1429),"",MIN('ورودی و مقایسه'!$M$7,IF(L9&lt;=6,31,IF(L9&lt;=11,30,VLOOKUP(K9+1,تقویم!$A$2:$B$42,2,0)-VLOOKUP(K9,تقویم!$A$2:$B$42,2,0)-336)))),""))</f>
        <v>5</v>
      </c>
    </row>
    <row r="10" customFormat="false" ht="15" hidden="false" customHeight="true" outlineLevel="0" collapsed="false">
      <c r="A10" s="24" t="n">
        <f aca="false">IF('ورودی و مقایسه'!$B$14="آماده",IF(3&lt;='ورودی و مقایسه'!$B$6,3,""),"")</f>
        <v>3</v>
      </c>
      <c r="B10" s="24" t="str">
        <f aca="false">IF(LEN(A10&amp;"")=0,"",IF(ISNUMBER(M10),K10&amp;"/"&amp;TEXT(L10,"00")&amp;"/"&amp;TEXT(M10,"00"),"تاریخ خارج از بازه"))</f>
        <v>1405/11/05</v>
      </c>
      <c r="C10" s="25" t="n">
        <f aca="false">IF(A10="","",G9)</f>
        <v>83333334</v>
      </c>
      <c r="D10" s="25" t="n">
        <f aca="false">IF(LEN(A10&amp;"")=0,"",ROUND($C$4*A10/'ورودی و مقایسه'!$B$6,0)-ROUND($C$4*(A10-1)/'ورودی و مقایسه'!$B$6,0))</f>
        <v>812500</v>
      </c>
      <c r="E10" s="25" t="n">
        <f aca="false">IF(LEN(A10&amp;"")=0,"",IF(A10='ورودی و مقایسه'!$B$6,C10,MAX(0,MIN(C10,$F$4-D10))))</f>
        <v>8333333</v>
      </c>
      <c r="F10" s="25" t="n">
        <f aca="false">IF(A10="","",D10+E10)</f>
        <v>9145833</v>
      </c>
      <c r="G10" s="25" t="n">
        <f aca="false">IF(A10="","",C10-E10)</f>
        <v>75000001</v>
      </c>
      <c r="J10" s="20" t="n">
        <f aca="false">IF(AND('ورودی و مقایسه'!$B$14="آماده",ISNUMBER('ورودی و مقایسه'!$N$7)),('ورودی و مقایسه'!$L$7-1)+2,"")</f>
        <v>10</v>
      </c>
      <c r="K10" s="20" t="n">
        <f aca="false">IF(ISNUMBER(J10),'ورودی و مقایسه'!$K$7+INT(J10/12),"")</f>
        <v>1405</v>
      </c>
      <c r="L10" s="20" t="n">
        <f aca="false">IF(ISNUMBER(J10),MOD(J10,12)+1,"")</f>
        <v>11</v>
      </c>
      <c r="M10" s="20" t="n">
        <f aca="false">IF(NOT(ISNUMBER(J10)),"",IFERROR(IF(OR(K10&lt;1390,K10&gt;1429),"",MIN('ورودی و مقایسه'!$M$7,IF(L10&lt;=6,31,IF(L10&lt;=11,30,VLOOKUP(K10+1,تقویم!$A$2:$B$42,2,0)-VLOOKUP(K10,تقویم!$A$2:$B$42,2,0)-336)))),""))</f>
        <v>5</v>
      </c>
    </row>
    <row r="11" customFormat="false" ht="15" hidden="false" customHeight="true" outlineLevel="0" collapsed="false">
      <c r="A11" s="26" t="n">
        <f aca="false">IF('ورودی و مقایسه'!$B$14="آماده",IF(4&lt;='ورودی و مقایسه'!$B$6,4,""),"")</f>
        <v>4</v>
      </c>
      <c r="B11" s="26" t="str">
        <f aca="false">IF(LEN(A11&amp;"")=0,"",IF(ISNUMBER(M11),K11&amp;"/"&amp;TEXT(L11,"00")&amp;"/"&amp;TEXT(M11,"00"),"تاریخ خارج از بازه"))</f>
        <v>1405/12/05</v>
      </c>
      <c r="C11" s="27" t="n">
        <f aca="false">IF(A11="","",G10)</f>
        <v>75000001</v>
      </c>
      <c r="D11" s="27" t="n">
        <f aca="false">IF(LEN(A11&amp;"")=0,"",ROUND($C$4*A11/'ورودی و مقایسه'!$B$6,0)-ROUND($C$4*(A11-1)/'ورودی و مقایسه'!$B$6,0))</f>
        <v>812500</v>
      </c>
      <c r="E11" s="27" t="n">
        <f aca="false">IF(LEN(A11&amp;"")=0,"",IF(A11='ورودی و مقایسه'!$B$6,C11,MAX(0,MIN(C11,$F$4-D11))))</f>
        <v>8333333</v>
      </c>
      <c r="F11" s="27" t="n">
        <f aca="false">IF(A11="","",D11+E11)</f>
        <v>9145833</v>
      </c>
      <c r="G11" s="27" t="n">
        <f aca="false">IF(A11="","",C11-E11)</f>
        <v>66666668</v>
      </c>
      <c r="J11" s="20" t="n">
        <f aca="false">IF(AND('ورودی و مقایسه'!$B$14="آماده",ISNUMBER('ورودی و مقایسه'!$N$7)),('ورودی و مقایسه'!$L$7-1)+3,"")</f>
        <v>11</v>
      </c>
      <c r="K11" s="20" t="n">
        <f aca="false">IF(ISNUMBER(J11),'ورودی و مقایسه'!$K$7+INT(J11/12),"")</f>
        <v>1405</v>
      </c>
      <c r="L11" s="20" t="n">
        <f aca="false">IF(ISNUMBER(J11),MOD(J11,12)+1,"")</f>
        <v>12</v>
      </c>
      <c r="M11" s="20" t="n">
        <f aca="false">IF(NOT(ISNUMBER(J11)),"",IFERROR(IF(OR(K11&lt;1390,K11&gt;1429),"",MIN('ورودی و مقایسه'!$M$7,IF(L11&lt;=6,31,IF(L11&lt;=11,30,VLOOKUP(K11+1,تقویم!$A$2:$B$42,2,0)-VLOOKUP(K11,تقویم!$A$2:$B$42,2,0)-336)))),""))</f>
        <v>5</v>
      </c>
    </row>
    <row r="12" customFormat="false" ht="15" hidden="false" customHeight="true" outlineLevel="0" collapsed="false">
      <c r="A12" s="24" t="n">
        <f aca="false">IF('ورودی و مقایسه'!$B$14="آماده",IF(5&lt;='ورودی و مقایسه'!$B$6,5,""),"")</f>
        <v>5</v>
      </c>
      <c r="B12" s="24" t="str">
        <f aca="false">IF(LEN(A12&amp;"")=0,"",IF(ISNUMBER(M12),K12&amp;"/"&amp;TEXT(L12,"00")&amp;"/"&amp;TEXT(M12,"00"),"تاریخ خارج از بازه"))</f>
        <v>1406/01/05</v>
      </c>
      <c r="C12" s="25" t="n">
        <f aca="false">IF(A12="","",G11)</f>
        <v>66666668</v>
      </c>
      <c r="D12" s="25" t="n">
        <f aca="false">IF(LEN(A12&amp;"")=0,"",ROUND($C$4*A12/'ورودی و مقایسه'!$B$6,0)-ROUND($C$4*(A12-1)/'ورودی و مقایسه'!$B$6,0))</f>
        <v>812500</v>
      </c>
      <c r="E12" s="25" t="n">
        <f aca="false">IF(LEN(A12&amp;"")=0,"",IF(A12='ورودی و مقایسه'!$B$6,C12,MAX(0,MIN(C12,$F$4-D12))))</f>
        <v>8333333</v>
      </c>
      <c r="F12" s="25" t="n">
        <f aca="false">IF(A12="","",D12+E12)</f>
        <v>9145833</v>
      </c>
      <c r="G12" s="25" t="n">
        <f aca="false">IF(A12="","",C12-E12)</f>
        <v>58333335</v>
      </c>
      <c r="J12" s="20" t="n">
        <f aca="false">IF(AND('ورودی و مقایسه'!$B$14="آماده",ISNUMBER('ورودی و مقایسه'!$N$7)),('ورودی و مقایسه'!$L$7-1)+4,"")</f>
        <v>12</v>
      </c>
      <c r="K12" s="20" t="n">
        <f aca="false">IF(ISNUMBER(J12),'ورودی و مقایسه'!$K$7+INT(J12/12),"")</f>
        <v>1406</v>
      </c>
      <c r="L12" s="20" t="n">
        <f aca="false">IF(ISNUMBER(J12),MOD(J12,12)+1,"")</f>
        <v>1</v>
      </c>
      <c r="M12" s="20" t="n">
        <f aca="false">IF(NOT(ISNUMBER(J12)),"",IFERROR(IF(OR(K12&lt;1390,K12&gt;1429),"",MIN('ورودی و مقایسه'!$M$7,IF(L12&lt;=6,31,IF(L12&lt;=11,30,VLOOKUP(K12+1,تقویم!$A$2:$B$42,2,0)-VLOOKUP(K12,تقویم!$A$2:$B$42,2,0)-336)))),""))</f>
        <v>5</v>
      </c>
    </row>
    <row r="13" customFormat="false" ht="15" hidden="false" customHeight="true" outlineLevel="0" collapsed="false">
      <c r="A13" s="26" t="n">
        <f aca="false">IF('ورودی و مقایسه'!$B$14="آماده",IF(6&lt;='ورودی و مقایسه'!$B$6,6,""),"")</f>
        <v>6</v>
      </c>
      <c r="B13" s="26" t="str">
        <f aca="false">IF(LEN(A13&amp;"")=0,"",IF(ISNUMBER(M13),K13&amp;"/"&amp;TEXT(L13,"00")&amp;"/"&amp;TEXT(M13,"00"),"تاریخ خارج از بازه"))</f>
        <v>1406/02/05</v>
      </c>
      <c r="C13" s="27" t="n">
        <f aca="false">IF(A13="","",G12)</f>
        <v>58333335</v>
      </c>
      <c r="D13" s="27" t="n">
        <f aca="false">IF(LEN(A13&amp;"")=0,"",ROUND($C$4*A13/'ورودی و مقایسه'!$B$6,0)-ROUND($C$4*(A13-1)/'ورودی و مقایسه'!$B$6,0))</f>
        <v>812500</v>
      </c>
      <c r="E13" s="27" t="n">
        <f aca="false">IF(LEN(A13&amp;"")=0,"",IF(A13='ورودی و مقایسه'!$B$6,C13,MAX(0,MIN(C13,$F$4-D13))))</f>
        <v>8333333</v>
      </c>
      <c r="F13" s="27" t="n">
        <f aca="false">IF(A13="","",D13+E13)</f>
        <v>9145833</v>
      </c>
      <c r="G13" s="27" t="n">
        <f aca="false">IF(A13="","",C13-E13)</f>
        <v>50000002</v>
      </c>
      <c r="J13" s="20" t="n">
        <f aca="false">IF(AND('ورودی و مقایسه'!$B$14="آماده",ISNUMBER('ورودی و مقایسه'!$N$7)),('ورودی و مقایسه'!$L$7-1)+5,"")</f>
        <v>13</v>
      </c>
      <c r="K13" s="20" t="n">
        <f aca="false">IF(ISNUMBER(J13),'ورودی و مقایسه'!$K$7+INT(J13/12),"")</f>
        <v>1406</v>
      </c>
      <c r="L13" s="20" t="n">
        <f aca="false">IF(ISNUMBER(J13),MOD(J13,12)+1,"")</f>
        <v>2</v>
      </c>
      <c r="M13" s="20" t="n">
        <f aca="false">IF(NOT(ISNUMBER(J13)),"",IFERROR(IF(OR(K13&lt;1390,K13&gt;1429),"",MIN('ورودی و مقایسه'!$M$7,IF(L13&lt;=6,31,IF(L13&lt;=11,30,VLOOKUP(K13+1,تقویم!$A$2:$B$42,2,0)-VLOOKUP(K13,تقویم!$A$2:$B$42,2,0)-336)))),""))</f>
        <v>5</v>
      </c>
    </row>
    <row r="14" customFormat="false" ht="15" hidden="false" customHeight="true" outlineLevel="0" collapsed="false">
      <c r="A14" s="24" t="n">
        <f aca="false">IF('ورودی و مقایسه'!$B$14="آماده",IF(7&lt;='ورودی و مقایسه'!$B$6,7,""),"")</f>
        <v>7</v>
      </c>
      <c r="B14" s="24" t="str">
        <f aca="false">IF(LEN(A14&amp;"")=0,"",IF(ISNUMBER(M14),K14&amp;"/"&amp;TEXT(L14,"00")&amp;"/"&amp;TEXT(M14,"00"),"تاریخ خارج از بازه"))</f>
        <v>1406/03/05</v>
      </c>
      <c r="C14" s="25" t="n">
        <f aca="false">IF(A14="","",G13)</f>
        <v>50000002</v>
      </c>
      <c r="D14" s="25" t="n">
        <f aca="false">IF(LEN(A14&amp;"")=0,"",ROUND($C$4*A14/'ورودی و مقایسه'!$B$6,0)-ROUND($C$4*(A14-1)/'ورودی و مقایسه'!$B$6,0))</f>
        <v>812500</v>
      </c>
      <c r="E14" s="25" t="n">
        <f aca="false">IF(LEN(A14&amp;"")=0,"",IF(A14='ورودی و مقایسه'!$B$6,C14,MAX(0,MIN(C14,$F$4-D14))))</f>
        <v>8333333</v>
      </c>
      <c r="F14" s="25" t="n">
        <f aca="false">IF(A14="","",D14+E14)</f>
        <v>9145833</v>
      </c>
      <c r="G14" s="25" t="n">
        <f aca="false">IF(A14="","",C14-E14)</f>
        <v>41666669</v>
      </c>
      <c r="J14" s="20" t="n">
        <f aca="false">IF(AND('ورودی و مقایسه'!$B$14="آماده",ISNUMBER('ورودی و مقایسه'!$N$7)),('ورودی و مقایسه'!$L$7-1)+6,"")</f>
        <v>14</v>
      </c>
      <c r="K14" s="20" t="n">
        <f aca="false">IF(ISNUMBER(J14),'ورودی و مقایسه'!$K$7+INT(J14/12),"")</f>
        <v>1406</v>
      </c>
      <c r="L14" s="20" t="n">
        <f aca="false">IF(ISNUMBER(J14),MOD(J14,12)+1,"")</f>
        <v>3</v>
      </c>
      <c r="M14" s="20" t="n">
        <f aca="false">IF(NOT(ISNUMBER(J14)),"",IFERROR(IF(OR(K14&lt;1390,K14&gt;1429),"",MIN('ورودی و مقایسه'!$M$7,IF(L14&lt;=6,31,IF(L14&lt;=11,30,VLOOKUP(K14+1,تقویم!$A$2:$B$42,2,0)-VLOOKUP(K14,تقویم!$A$2:$B$42,2,0)-336)))),""))</f>
        <v>5</v>
      </c>
    </row>
    <row r="15" customFormat="false" ht="15" hidden="false" customHeight="true" outlineLevel="0" collapsed="false">
      <c r="A15" s="26" t="n">
        <f aca="false">IF('ورودی و مقایسه'!$B$14="آماده",IF(8&lt;='ورودی و مقایسه'!$B$6,8,""),"")</f>
        <v>8</v>
      </c>
      <c r="B15" s="26" t="str">
        <f aca="false">IF(LEN(A15&amp;"")=0,"",IF(ISNUMBER(M15),K15&amp;"/"&amp;TEXT(L15,"00")&amp;"/"&amp;TEXT(M15,"00"),"تاریخ خارج از بازه"))</f>
        <v>1406/04/05</v>
      </c>
      <c r="C15" s="27" t="n">
        <f aca="false">IF(A15="","",G14)</f>
        <v>41666669</v>
      </c>
      <c r="D15" s="27" t="n">
        <f aca="false">IF(LEN(A15&amp;"")=0,"",ROUND($C$4*A15/'ورودی و مقایسه'!$B$6,0)-ROUND($C$4*(A15-1)/'ورودی و مقایسه'!$B$6,0))</f>
        <v>812500</v>
      </c>
      <c r="E15" s="27" t="n">
        <f aca="false">IF(LEN(A15&amp;"")=0,"",IF(A15='ورودی و مقایسه'!$B$6,C15,MAX(0,MIN(C15,$F$4-D15))))</f>
        <v>8333333</v>
      </c>
      <c r="F15" s="27" t="n">
        <f aca="false">IF(A15="","",D15+E15)</f>
        <v>9145833</v>
      </c>
      <c r="G15" s="27" t="n">
        <f aca="false">IF(A15="","",C15-E15)</f>
        <v>33333336</v>
      </c>
      <c r="J15" s="20" t="n">
        <f aca="false">IF(AND('ورودی و مقایسه'!$B$14="آماده",ISNUMBER('ورودی و مقایسه'!$N$7)),('ورودی و مقایسه'!$L$7-1)+7,"")</f>
        <v>15</v>
      </c>
      <c r="K15" s="20" t="n">
        <f aca="false">IF(ISNUMBER(J15),'ورودی و مقایسه'!$K$7+INT(J15/12),"")</f>
        <v>1406</v>
      </c>
      <c r="L15" s="20" t="n">
        <f aca="false">IF(ISNUMBER(J15),MOD(J15,12)+1,"")</f>
        <v>4</v>
      </c>
      <c r="M15" s="20" t="n">
        <f aca="false">IF(NOT(ISNUMBER(J15)),"",IFERROR(IF(OR(K15&lt;1390,K15&gt;1429),"",MIN('ورودی و مقایسه'!$M$7,IF(L15&lt;=6,31,IF(L15&lt;=11,30,VLOOKUP(K15+1,تقویم!$A$2:$B$42,2,0)-VLOOKUP(K15,تقویم!$A$2:$B$42,2,0)-336)))),""))</f>
        <v>5</v>
      </c>
    </row>
    <row r="16" customFormat="false" ht="15" hidden="false" customHeight="true" outlineLevel="0" collapsed="false">
      <c r="A16" s="24" t="n">
        <f aca="false">IF('ورودی و مقایسه'!$B$14="آماده",IF(9&lt;='ورودی و مقایسه'!$B$6,9,""),"")</f>
        <v>9</v>
      </c>
      <c r="B16" s="24" t="str">
        <f aca="false">IF(LEN(A16&amp;"")=0,"",IF(ISNUMBER(M16),K16&amp;"/"&amp;TEXT(L16,"00")&amp;"/"&amp;TEXT(M16,"00"),"تاریخ خارج از بازه"))</f>
        <v>1406/05/05</v>
      </c>
      <c r="C16" s="25" t="n">
        <f aca="false">IF(A16="","",G15)</f>
        <v>33333336</v>
      </c>
      <c r="D16" s="25" t="n">
        <f aca="false">IF(LEN(A16&amp;"")=0,"",ROUND($C$4*A16/'ورودی و مقایسه'!$B$6,0)-ROUND($C$4*(A16-1)/'ورودی و مقایسه'!$B$6,0))</f>
        <v>812500</v>
      </c>
      <c r="E16" s="25" t="n">
        <f aca="false">IF(LEN(A16&amp;"")=0,"",IF(A16='ورودی و مقایسه'!$B$6,C16,MAX(0,MIN(C16,$F$4-D16))))</f>
        <v>8333333</v>
      </c>
      <c r="F16" s="25" t="n">
        <f aca="false">IF(A16="","",D16+E16)</f>
        <v>9145833</v>
      </c>
      <c r="G16" s="25" t="n">
        <f aca="false">IF(A16="","",C16-E16)</f>
        <v>25000003</v>
      </c>
      <c r="J16" s="20" t="n">
        <f aca="false">IF(AND('ورودی و مقایسه'!$B$14="آماده",ISNUMBER('ورودی و مقایسه'!$N$7)),('ورودی و مقایسه'!$L$7-1)+8,"")</f>
        <v>16</v>
      </c>
      <c r="K16" s="20" t="n">
        <f aca="false">IF(ISNUMBER(J16),'ورودی و مقایسه'!$K$7+INT(J16/12),"")</f>
        <v>1406</v>
      </c>
      <c r="L16" s="20" t="n">
        <f aca="false">IF(ISNUMBER(J16),MOD(J16,12)+1,"")</f>
        <v>5</v>
      </c>
      <c r="M16" s="20" t="n">
        <f aca="false">IF(NOT(ISNUMBER(J16)),"",IFERROR(IF(OR(K16&lt;1390,K16&gt;1429),"",MIN('ورودی و مقایسه'!$M$7,IF(L16&lt;=6,31,IF(L16&lt;=11,30,VLOOKUP(K16+1,تقویم!$A$2:$B$42,2,0)-VLOOKUP(K16,تقویم!$A$2:$B$42,2,0)-336)))),""))</f>
        <v>5</v>
      </c>
    </row>
    <row r="17" customFormat="false" ht="15" hidden="false" customHeight="true" outlineLevel="0" collapsed="false">
      <c r="A17" s="26" t="n">
        <f aca="false">IF('ورودی و مقایسه'!$B$14="آماده",IF(10&lt;='ورودی و مقایسه'!$B$6,10,""),"")</f>
        <v>10</v>
      </c>
      <c r="B17" s="26" t="str">
        <f aca="false">IF(LEN(A17&amp;"")=0,"",IF(ISNUMBER(M17),K17&amp;"/"&amp;TEXT(L17,"00")&amp;"/"&amp;TEXT(M17,"00"),"تاریخ خارج از بازه"))</f>
        <v>1406/06/05</v>
      </c>
      <c r="C17" s="27" t="n">
        <f aca="false">IF(A17="","",G16)</f>
        <v>25000003</v>
      </c>
      <c r="D17" s="27" t="n">
        <f aca="false">IF(LEN(A17&amp;"")=0,"",ROUND($C$4*A17/'ورودی و مقایسه'!$B$6,0)-ROUND($C$4*(A17-1)/'ورودی و مقایسه'!$B$6,0))</f>
        <v>812500</v>
      </c>
      <c r="E17" s="27" t="n">
        <f aca="false">IF(LEN(A17&amp;"")=0,"",IF(A17='ورودی و مقایسه'!$B$6,C17,MAX(0,MIN(C17,$F$4-D17))))</f>
        <v>8333333</v>
      </c>
      <c r="F17" s="27" t="n">
        <f aca="false">IF(A17="","",D17+E17)</f>
        <v>9145833</v>
      </c>
      <c r="G17" s="27" t="n">
        <f aca="false">IF(A17="","",C17-E17)</f>
        <v>16666670</v>
      </c>
      <c r="J17" s="20" t="n">
        <f aca="false">IF(AND('ورودی و مقایسه'!$B$14="آماده",ISNUMBER('ورودی و مقایسه'!$N$7)),('ورودی و مقایسه'!$L$7-1)+9,"")</f>
        <v>17</v>
      </c>
      <c r="K17" s="20" t="n">
        <f aca="false">IF(ISNUMBER(J17),'ورودی و مقایسه'!$K$7+INT(J17/12),"")</f>
        <v>1406</v>
      </c>
      <c r="L17" s="20" t="n">
        <f aca="false">IF(ISNUMBER(J17),MOD(J17,12)+1,"")</f>
        <v>6</v>
      </c>
      <c r="M17" s="20" t="n">
        <f aca="false">IF(NOT(ISNUMBER(J17)),"",IFERROR(IF(OR(K17&lt;1390,K17&gt;1429),"",MIN('ورودی و مقایسه'!$M$7,IF(L17&lt;=6,31,IF(L17&lt;=11,30,VLOOKUP(K17+1,تقویم!$A$2:$B$42,2,0)-VLOOKUP(K17,تقویم!$A$2:$B$42,2,0)-336)))),""))</f>
        <v>5</v>
      </c>
    </row>
    <row r="18" customFormat="false" ht="15" hidden="false" customHeight="true" outlineLevel="0" collapsed="false">
      <c r="A18" s="24" t="n">
        <f aca="false">IF('ورودی و مقایسه'!$B$14="آماده",IF(11&lt;='ورودی و مقایسه'!$B$6,11,""),"")</f>
        <v>11</v>
      </c>
      <c r="B18" s="24" t="str">
        <f aca="false">IF(LEN(A18&amp;"")=0,"",IF(ISNUMBER(M18),K18&amp;"/"&amp;TEXT(L18,"00")&amp;"/"&amp;TEXT(M18,"00"),"تاریخ خارج از بازه"))</f>
        <v>1406/07/05</v>
      </c>
      <c r="C18" s="25" t="n">
        <f aca="false">IF(A18="","",G17)</f>
        <v>16666670</v>
      </c>
      <c r="D18" s="25" t="n">
        <f aca="false">IF(LEN(A18&amp;"")=0,"",ROUND($C$4*A18/'ورودی و مقایسه'!$B$6,0)-ROUND($C$4*(A18-1)/'ورودی و مقایسه'!$B$6,0))</f>
        <v>812500</v>
      </c>
      <c r="E18" s="25" t="n">
        <f aca="false">IF(LEN(A18&amp;"")=0,"",IF(A18='ورودی و مقایسه'!$B$6,C18,MAX(0,MIN(C18,$F$4-D18))))</f>
        <v>8333333</v>
      </c>
      <c r="F18" s="25" t="n">
        <f aca="false">IF(A18="","",D18+E18)</f>
        <v>9145833</v>
      </c>
      <c r="G18" s="25" t="n">
        <f aca="false">IF(A18="","",C18-E18)</f>
        <v>8333337</v>
      </c>
      <c r="J18" s="20" t="n">
        <f aca="false">IF(AND('ورودی و مقایسه'!$B$14="آماده",ISNUMBER('ورودی و مقایسه'!$N$7)),('ورودی و مقایسه'!$L$7-1)+10,"")</f>
        <v>18</v>
      </c>
      <c r="K18" s="20" t="n">
        <f aca="false">IF(ISNUMBER(J18),'ورودی و مقایسه'!$K$7+INT(J18/12),"")</f>
        <v>1406</v>
      </c>
      <c r="L18" s="20" t="n">
        <f aca="false">IF(ISNUMBER(J18),MOD(J18,12)+1,"")</f>
        <v>7</v>
      </c>
      <c r="M18" s="20" t="n">
        <f aca="false">IF(NOT(ISNUMBER(J18)),"",IFERROR(IF(OR(K18&lt;1390,K18&gt;1429),"",MIN('ورودی و مقایسه'!$M$7,IF(L18&lt;=6,31,IF(L18&lt;=11,30,VLOOKUP(K18+1,تقویم!$A$2:$B$42,2,0)-VLOOKUP(K18,تقویم!$A$2:$B$42,2,0)-336)))),""))</f>
        <v>5</v>
      </c>
    </row>
    <row r="19" customFormat="false" ht="15" hidden="false" customHeight="true" outlineLevel="0" collapsed="false">
      <c r="A19" s="26" t="n">
        <f aca="false">IF('ورودی و مقایسه'!$B$14="آماده",IF(12&lt;='ورودی و مقایسه'!$B$6,12,""),"")</f>
        <v>12</v>
      </c>
      <c r="B19" s="26" t="str">
        <f aca="false">IF(LEN(A19&amp;"")=0,"",IF(ISNUMBER(M19),K19&amp;"/"&amp;TEXT(L19,"00")&amp;"/"&amp;TEXT(M19,"00"),"تاریخ خارج از بازه"))</f>
        <v>1406/08/05</v>
      </c>
      <c r="C19" s="27" t="n">
        <f aca="false">IF(A19="","",G18)</f>
        <v>8333337</v>
      </c>
      <c r="D19" s="27" t="n">
        <f aca="false">IF(LEN(A19&amp;"")=0,"",ROUND($C$4*A19/'ورودی و مقایسه'!$B$6,0)-ROUND($C$4*(A19-1)/'ورودی و مقایسه'!$B$6,0))</f>
        <v>812500</v>
      </c>
      <c r="E19" s="27" t="n">
        <f aca="false">IF(LEN(A19&amp;"")=0,"",IF(A19='ورودی و مقایسه'!$B$6,C19,MAX(0,MIN(C19,$F$4-D19))))</f>
        <v>8333337</v>
      </c>
      <c r="F19" s="27" t="n">
        <f aca="false">IF(A19="","",D19+E19)</f>
        <v>9145837</v>
      </c>
      <c r="G19" s="27" t="n">
        <f aca="false">IF(A19="","",C19-E19)</f>
        <v>0</v>
      </c>
      <c r="J19" s="20" t="n">
        <f aca="false">IF(AND('ورودی و مقایسه'!$B$14="آماده",ISNUMBER('ورودی و مقایسه'!$N$7)),('ورودی و مقایسه'!$L$7-1)+11,"")</f>
        <v>19</v>
      </c>
      <c r="K19" s="20" t="n">
        <f aca="false">IF(ISNUMBER(J19),'ورودی و مقایسه'!$K$7+INT(J19/12),"")</f>
        <v>1406</v>
      </c>
      <c r="L19" s="20" t="n">
        <f aca="false">IF(ISNUMBER(J19),MOD(J19,12)+1,"")</f>
        <v>8</v>
      </c>
      <c r="M19" s="20" t="n">
        <f aca="false">IF(NOT(ISNUMBER(J19)),"",IFERROR(IF(OR(K19&lt;1390,K19&gt;1429),"",MIN('ورودی و مقایسه'!$M$7,IF(L19&lt;=6,31,IF(L19&lt;=11,30,VLOOKUP(K19+1,تقویم!$A$2:$B$42,2,0)-VLOOKUP(K19,تقویم!$A$2:$B$42,2,0)-336)))),""))</f>
        <v>5</v>
      </c>
    </row>
    <row r="20" customFormat="false" ht="15" hidden="false" customHeight="true" outlineLevel="0" collapsed="false">
      <c r="A20" s="24" t="str">
        <f aca="false">IF('ورودی و مقایسه'!$B$14="آماده",IF(13&lt;='ورودی و مقایسه'!$B$6,13,""),"")</f>
        <v/>
      </c>
      <c r="B20" s="24" t="str">
        <f aca="false">IF(LEN(A20&amp;"")=0,"",IF(ISNUMBER(M20),K20&amp;"/"&amp;TEXT(L20,"00")&amp;"/"&amp;TEXT(M20,"00"),"تاریخ خارج از بازه"))</f>
        <v/>
      </c>
      <c r="C20" s="25" t="str">
        <f aca="false">IF(A20="","",G19)</f>
        <v/>
      </c>
      <c r="D20" s="25" t="str">
        <f aca="false">IF(LEN(A20&amp;"")=0,"",ROUND($C$4*A20/'ورودی و مقایسه'!$B$6,0)-ROUND($C$4*(A20-1)/'ورودی و مقایسه'!$B$6,0))</f>
        <v/>
      </c>
      <c r="E20" s="25" t="str">
        <f aca="false">IF(LEN(A20&amp;"")=0,"",IF(A20='ورودی و مقایسه'!$B$6,C20,MAX(0,MIN(C20,$F$4-D20))))</f>
        <v/>
      </c>
      <c r="F20" s="25" t="str">
        <f aca="false">IF(A20="","",D20+E20)</f>
        <v/>
      </c>
      <c r="G20" s="25" t="str">
        <f aca="false">IF(A20="","",C20-E20)</f>
        <v/>
      </c>
      <c r="J20" s="20" t="n">
        <f aca="false">IF(AND('ورودی و مقایسه'!$B$14="آماده",ISNUMBER('ورودی و مقایسه'!$N$7)),('ورودی و مقایسه'!$L$7-1)+12,"")</f>
        <v>20</v>
      </c>
      <c r="K20" s="20" t="n">
        <f aca="false">IF(ISNUMBER(J20),'ورودی و مقایسه'!$K$7+INT(J20/12),"")</f>
        <v>1406</v>
      </c>
      <c r="L20" s="20" t="n">
        <f aca="false">IF(ISNUMBER(J20),MOD(J20,12)+1,"")</f>
        <v>9</v>
      </c>
      <c r="M20" s="20" t="n">
        <f aca="false">IF(NOT(ISNUMBER(J20)),"",IFERROR(IF(OR(K20&lt;1390,K20&gt;1429),"",MIN('ورودی و مقایسه'!$M$7,IF(L20&lt;=6,31,IF(L20&lt;=11,30,VLOOKUP(K20+1,تقویم!$A$2:$B$42,2,0)-VLOOKUP(K20,تقویم!$A$2:$B$42,2,0)-336)))),""))</f>
        <v>5</v>
      </c>
    </row>
    <row r="21" customFormat="false" ht="15" hidden="false" customHeight="true" outlineLevel="0" collapsed="false">
      <c r="A21" s="26" t="str">
        <f aca="false">IF('ورودی و مقایسه'!$B$14="آماده",IF(14&lt;='ورودی و مقایسه'!$B$6,14,""),"")</f>
        <v/>
      </c>
      <c r="B21" s="26" t="str">
        <f aca="false">IF(LEN(A21&amp;"")=0,"",IF(ISNUMBER(M21),K21&amp;"/"&amp;TEXT(L21,"00")&amp;"/"&amp;TEXT(M21,"00"),"تاریخ خارج از بازه"))</f>
        <v/>
      </c>
      <c r="C21" s="27" t="str">
        <f aca="false">IF(A21="","",G20)</f>
        <v/>
      </c>
      <c r="D21" s="27" t="str">
        <f aca="false">IF(LEN(A21&amp;"")=0,"",ROUND($C$4*A21/'ورودی و مقایسه'!$B$6,0)-ROUND($C$4*(A21-1)/'ورودی و مقایسه'!$B$6,0))</f>
        <v/>
      </c>
      <c r="E21" s="27" t="str">
        <f aca="false">IF(LEN(A21&amp;"")=0,"",IF(A21='ورودی و مقایسه'!$B$6,C21,MAX(0,MIN(C21,$F$4-D21))))</f>
        <v/>
      </c>
      <c r="F21" s="27" t="str">
        <f aca="false">IF(A21="","",D21+E21)</f>
        <v/>
      </c>
      <c r="G21" s="27" t="str">
        <f aca="false">IF(A21="","",C21-E21)</f>
        <v/>
      </c>
      <c r="J21" s="20" t="n">
        <f aca="false">IF(AND('ورودی و مقایسه'!$B$14="آماده",ISNUMBER('ورودی و مقایسه'!$N$7)),('ورودی و مقایسه'!$L$7-1)+13,"")</f>
        <v>21</v>
      </c>
      <c r="K21" s="20" t="n">
        <f aca="false">IF(ISNUMBER(J21),'ورودی و مقایسه'!$K$7+INT(J21/12),"")</f>
        <v>1406</v>
      </c>
      <c r="L21" s="20" t="n">
        <f aca="false">IF(ISNUMBER(J21),MOD(J21,12)+1,"")</f>
        <v>10</v>
      </c>
      <c r="M21" s="20" t="n">
        <f aca="false">IF(NOT(ISNUMBER(J21)),"",IFERROR(IF(OR(K21&lt;1390,K21&gt;1429),"",MIN('ورودی و مقایسه'!$M$7,IF(L21&lt;=6,31,IF(L21&lt;=11,30,VLOOKUP(K21+1,تقویم!$A$2:$B$42,2,0)-VLOOKUP(K21,تقویم!$A$2:$B$42,2,0)-336)))),""))</f>
        <v>5</v>
      </c>
    </row>
    <row r="22" customFormat="false" ht="15" hidden="false" customHeight="true" outlineLevel="0" collapsed="false">
      <c r="A22" s="24" t="str">
        <f aca="false">IF('ورودی و مقایسه'!$B$14="آماده",IF(15&lt;='ورودی و مقایسه'!$B$6,15,""),"")</f>
        <v/>
      </c>
      <c r="B22" s="24" t="str">
        <f aca="false">IF(LEN(A22&amp;"")=0,"",IF(ISNUMBER(M22),K22&amp;"/"&amp;TEXT(L22,"00")&amp;"/"&amp;TEXT(M22,"00"),"تاریخ خارج از بازه"))</f>
        <v/>
      </c>
      <c r="C22" s="25" t="str">
        <f aca="false">IF(A22="","",G21)</f>
        <v/>
      </c>
      <c r="D22" s="25" t="str">
        <f aca="false">IF(LEN(A22&amp;"")=0,"",ROUND($C$4*A22/'ورودی و مقایسه'!$B$6,0)-ROUND($C$4*(A22-1)/'ورودی و مقایسه'!$B$6,0))</f>
        <v/>
      </c>
      <c r="E22" s="25" t="str">
        <f aca="false">IF(LEN(A22&amp;"")=0,"",IF(A22='ورودی و مقایسه'!$B$6,C22,MAX(0,MIN(C22,$F$4-D22))))</f>
        <v/>
      </c>
      <c r="F22" s="25" t="str">
        <f aca="false">IF(A22="","",D22+E22)</f>
        <v/>
      </c>
      <c r="G22" s="25" t="str">
        <f aca="false">IF(A22="","",C22-E22)</f>
        <v/>
      </c>
      <c r="J22" s="20" t="n">
        <f aca="false">IF(AND('ورودی و مقایسه'!$B$14="آماده",ISNUMBER('ورودی و مقایسه'!$N$7)),('ورودی و مقایسه'!$L$7-1)+14,"")</f>
        <v>22</v>
      </c>
      <c r="K22" s="20" t="n">
        <f aca="false">IF(ISNUMBER(J22),'ورودی و مقایسه'!$K$7+INT(J22/12),"")</f>
        <v>1406</v>
      </c>
      <c r="L22" s="20" t="n">
        <f aca="false">IF(ISNUMBER(J22),MOD(J22,12)+1,"")</f>
        <v>11</v>
      </c>
      <c r="M22" s="20" t="n">
        <f aca="false">IF(NOT(ISNUMBER(J22)),"",IFERROR(IF(OR(K22&lt;1390,K22&gt;1429),"",MIN('ورودی و مقایسه'!$M$7,IF(L22&lt;=6,31,IF(L22&lt;=11,30,VLOOKUP(K22+1,تقویم!$A$2:$B$42,2,0)-VLOOKUP(K22,تقویم!$A$2:$B$42,2,0)-336)))),""))</f>
        <v>5</v>
      </c>
    </row>
    <row r="23" customFormat="false" ht="15" hidden="false" customHeight="true" outlineLevel="0" collapsed="false">
      <c r="A23" s="26" t="str">
        <f aca="false">IF('ورودی و مقایسه'!$B$14="آماده",IF(16&lt;='ورودی و مقایسه'!$B$6,16,""),"")</f>
        <v/>
      </c>
      <c r="B23" s="26" t="str">
        <f aca="false">IF(LEN(A23&amp;"")=0,"",IF(ISNUMBER(M23),K23&amp;"/"&amp;TEXT(L23,"00")&amp;"/"&amp;TEXT(M23,"00"),"تاریخ خارج از بازه"))</f>
        <v/>
      </c>
      <c r="C23" s="27" t="str">
        <f aca="false">IF(A23="","",G22)</f>
        <v/>
      </c>
      <c r="D23" s="27" t="str">
        <f aca="false">IF(LEN(A23&amp;"")=0,"",ROUND($C$4*A23/'ورودی و مقایسه'!$B$6,0)-ROUND($C$4*(A23-1)/'ورودی و مقایسه'!$B$6,0))</f>
        <v/>
      </c>
      <c r="E23" s="27" t="str">
        <f aca="false">IF(LEN(A23&amp;"")=0,"",IF(A23='ورودی و مقایسه'!$B$6,C23,MAX(0,MIN(C23,$F$4-D23))))</f>
        <v/>
      </c>
      <c r="F23" s="27" t="str">
        <f aca="false">IF(A23="","",D23+E23)</f>
        <v/>
      </c>
      <c r="G23" s="27" t="str">
        <f aca="false">IF(A23="","",C23-E23)</f>
        <v/>
      </c>
      <c r="J23" s="20" t="n">
        <f aca="false">IF(AND('ورودی و مقایسه'!$B$14="آماده",ISNUMBER('ورودی و مقایسه'!$N$7)),('ورودی و مقایسه'!$L$7-1)+15,"")</f>
        <v>23</v>
      </c>
      <c r="K23" s="20" t="n">
        <f aca="false">IF(ISNUMBER(J23),'ورودی و مقایسه'!$K$7+INT(J23/12),"")</f>
        <v>1406</v>
      </c>
      <c r="L23" s="20" t="n">
        <f aca="false">IF(ISNUMBER(J23),MOD(J23,12)+1,"")</f>
        <v>12</v>
      </c>
      <c r="M23" s="20" t="n">
        <f aca="false">IF(NOT(ISNUMBER(J23)),"",IFERROR(IF(OR(K23&lt;1390,K23&gt;1429),"",MIN('ورودی و مقایسه'!$M$7,IF(L23&lt;=6,31,IF(L23&lt;=11,30,VLOOKUP(K23+1,تقویم!$A$2:$B$42,2,0)-VLOOKUP(K23,تقویم!$A$2:$B$42,2,0)-336)))),""))</f>
        <v>5</v>
      </c>
    </row>
    <row r="24" customFormat="false" ht="15" hidden="false" customHeight="true" outlineLevel="0" collapsed="false">
      <c r="A24" s="24" t="str">
        <f aca="false">IF('ورودی و مقایسه'!$B$14="آماده",IF(17&lt;='ورودی و مقایسه'!$B$6,17,""),"")</f>
        <v/>
      </c>
      <c r="B24" s="24" t="str">
        <f aca="false">IF(LEN(A24&amp;"")=0,"",IF(ISNUMBER(M24),K24&amp;"/"&amp;TEXT(L24,"00")&amp;"/"&amp;TEXT(M24,"00"),"تاریخ خارج از بازه"))</f>
        <v/>
      </c>
      <c r="C24" s="25" t="str">
        <f aca="false">IF(A24="","",G23)</f>
        <v/>
      </c>
      <c r="D24" s="25" t="str">
        <f aca="false">IF(LEN(A24&amp;"")=0,"",ROUND($C$4*A24/'ورودی و مقایسه'!$B$6,0)-ROUND($C$4*(A24-1)/'ورودی و مقایسه'!$B$6,0))</f>
        <v/>
      </c>
      <c r="E24" s="25" t="str">
        <f aca="false">IF(LEN(A24&amp;"")=0,"",IF(A24='ورودی و مقایسه'!$B$6,C24,MAX(0,MIN(C24,$F$4-D24))))</f>
        <v/>
      </c>
      <c r="F24" s="25" t="str">
        <f aca="false">IF(A24="","",D24+E24)</f>
        <v/>
      </c>
      <c r="G24" s="25" t="str">
        <f aca="false">IF(A24="","",C24-E24)</f>
        <v/>
      </c>
      <c r="J24" s="20" t="n">
        <f aca="false">IF(AND('ورودی و مقایسه'!$B$14="آماده",ISNUMBER('ورودی و مقایسه'!$N$7)),('ورودی و مقایسه'!$L$7-1)+16,"")</f>
        <v>24</v>
      </c>
      <c r="K24" s="20" t="n">
        <f aca="false">IF(ISNUMBER(J24),'ورودی و مقایسه'!$K$7+INT(J24/12),"")</f>
        <v>1407</v>
      </c>
      <c r="L24" s="20" t="n">
        <f aca="false">IF(ISNUMBER(J24),MOD(J24,12)+1,"")</f>
        <v>1</v>
      </c>
      <c r="M24" s="20" t="n">
        <f aca="false">IF(NOT(ISNUMBER(J24)),"",IFERROR(IF(OR(K24&lt;1390,K24&gt;1429),"",MIN('ورودی و مقایسه'!$M$7,IF(L24&lt;=6,31,IF(L24&lt;=11,30,VLOOKUP(K24+1,تقویم!$A$2:$B$42,2,0)-VLOOKUP(K24,تقویم!$A$2:$B$42,2,0)-336)))),""))</f>
        <v>5</v>
      </c>
    </row>
    <row r="25" customFormat="false" ht="15" hidden="false" customHeight="true" outlineLevel="0" collapsed="false">
      <c r="A25" s="26" t="str">
        <f aca="false">IF('ورودی و مقایسه'!$B$14="آماده",IF(18&lt;='ورودی و مقایسه'!$B$6,18,""),"")</f>
        <v/>
      </c>
      <c r="B25" s="26" t="str">
        <f aca="false">IF(LEN(A25&amp;"")=0,"",IF(ISNUMBER(M25),K25&amp;"/"&amp;TEXT(L25,"00")&amp;"/"&amp;TEXT(M25,"00"),"تاریخ خارج از بازه"))</f>
        <v/>
      </c>
      <c r="C25" s="27" t="str">
        <f aca="false">IF(A25="","",G24)</f>
        <v/>
      </c>
      <c r="D25" s="27" t="str">
        <f aca="false">IF(LEN(A25&amp;"")=0,"",ROUND($C$4*A25/'ورودی و مقایسه'!$B$6,0)-ROUND($C$4*(A25-1)/'ورودی و مقایسه'!$B$6,0))</f>
        <v/>
      </c>
      <c r="E25" s="27" t="str">
        <f aca="false">IF(LEN(A25&amp;"")=0,"",IF(A25='ورودی و مقایسه'!$B$6,C25,MAX(0,MIN(C25,$F$4-D25))))</f>
        <v/>
      </c>
      <c r="F25" s="27" t="str">
        <f aca="false">IF(A25="","",D25+E25)</f>
        <v/>
      </c>
      <c r="G25" s="27" t="str">
        <f aca="false">IF(A25="","",C25-E25)</f>
        <v/>
      </c>
      <c r="J25" s="20" t="n">
        <f aca="false">IF(AND('ورودی و مقایسه'!$B$14="آماده",ISNUMBER('ورودی و مقایسه'!$N$7)),('ورودی و مقایسه'!$L$7-1)+17,"")</f>
        <v>25</v>
      </c>
      <c r="K25" s="20" t="n">
        <f aca="false">IF(ISNUMBER(J25),'ورودی و مقایسه'!$K$7+INT(J25/12),"")</f>
        <v>1407</v>
      </c>
      <c r="L25" s="20" t="n">
        <f aca="false">IF(ISNUMBER(J25),MOD(J25,12)+1,"")</f>
        <v>2</v>
      </c>
      <c r="M25" s="20" t="n">
        <f aca="false">IF(NOT(ISNUMBER(J25)),"",IFERROR(IF(OR(K25&lt;1390,K25&gt;1429),"",MIN('ورودی و مقایسه'!$M$7,IF(L25&lt;=6,31,IF(L25&lt;=11,30,VLOOKUP(K25+1,تقویم!$A$2:$B$42,2,0)-VLOOKUP(K25,تقویم!$A$2:$B$42,2,0)-336)))),""))</f>
        <v>5</v>
      </c>
    </row>
    <row r="26" customFormat="false" ht="15" hidden="false" customHeight="true" outlineLevel="0" collapsed="false">
      <c r="A26" s="24" t="str">
        <f aca="false">IF('ورودی و مقایسه'!$B$14="آماده",IF(19&lt;='ورودی و مقایسه'!$B$6,19,""),"")</f>
        <v/>
      </c>
      <c r="B26" s="24" t="str">
        <f aca="false">IF(LEN(A26&amp;"")=0,"",IF(ISNUMBER(M26),K26&amp;"/"&amp;TEXT(L26,"00")&amp;"/"&amp;TEXT(M26,"00"),"تاریخ خارج از بازه"))</f>
        <v/>
      </c>
      <c r="C26" s="25" t="str">
        <f aca="false">IF(A26="","",G25)</f>
        <v/>
      </c>
      <c r="D26" s="25" t="str">
        <f aca="false">IF(LEN(A26&amp;"")=0,"",ROUND($C$4*A26/'ورودی و مقایسه'!$B$6,0)-ROUND($C$4*(A26-1)/'ورودی و مقایسه'!$B$6,0))</f>
        <v/>
      </c>
      <c r="E26" s="25" t="str">
        <f aca="false">IF(LEN(A26&amp;"")=0,"",IF(A26='ورودی و مقایسه'!$B$6,C26,MAX(0,MIN(C26,$F$4-D26))))</f>
        <v/>
      </c>
      <c r="F26" s="25" t="str">
        <f aca="false">IF(A26="","",D26+E26)</f>
        <v/>
      </c>
      <c r="G26" s="25" t="str">
        <f aca="false">IF(A26="","",C26-E26)</f>
        <v/>
      </c>
      <c r="J26" s="20" t="n">
        <f aca="false">IF(AND('ورودی و مقایسه'!$B$14="آماده",ISNUMBER('ورودی و مقایسه'!$N$7)),('ورودی و مقایسه'!$L$7-1)+18,"")</f>
        <v>26</v>
      </c>
      <c r="K26" s="20" t="n">
        <f aca="false">IF(ISNUMBER(J26),'ورودی و مقایسه'!$K$7+INT(J26/12),"")</f>
        <v>1407</v>
      </c>
      <c r="L26" s="20" t="n">
        <f aca="false">IF(ISNUMBER(J26),MOD(J26,12)+1,"")</f>
        <v>3</v>
      </c>
      <c r="M26" s="20" t="n">
        <f aca="false">IF(NOT(ISNUMBER(J26)),"",IFERROR(IF(OR(K26&lt;1390,K26&gt;1429),"",MIN('ورودی و مقایسه'!$M$7,IF(L26&lt;=6,31,IF(L26&lt;=11,30,VLOOKUP(K26+1,تقویم!$A$2:$B$42,2,0)-VLOOKUP(K26,تقویم!$A$2:$B$42,2,0)-336)))),""))</f>
        <v>5</v>
      </c>
    </row>
    <row r="27" customFormat="false" ht="15" hidden="false" customHeight="true" outlineLevel="0" collapsed="false">
      <c r="A27" s="26" t="str">
        <f aca="false">IF('ورودی و مقایسه'!$B$14="آماده",IF(20&lt;='ورودی و مقایسه'!$B$6,20,""),"")</f>
        <v/>
      </c>
      <c r="B27" s="26" t="str">
        <f aca="false">IF(LEN(A27&amp;"")=0,"",IF(ISNUMBER(M27),K27&amp;"/"&amp;TEXT(L27,"00")&amp;"/"&amp;TEXT(M27,"00"),"تاریخ خارج از بازه"))</f>
        <v/>
      </c>
      <c r="C27" s="27" t="str">
        <f aca="false">IF(A27="","",G26)</f>
        <v/>
      </c>
      <c r="D27" s="27" t="str">
        <f aca="false">IF(LEN(A27&amp;"")=0,"",ROUND($C$4*A27/'ورودی و مقایسه'!$B$6,0)-ROUND($C$4*(A27-1)/'ورودی و مقایسه'!$B$6,0))</f>
        <v/>
      </c>
      <c r="E27" s="27" t="str">
        <f aca="false">IF(LEN(A27&amp;"")=0,"",IF(A27='ورودی و مقایسه'!$B$6,C27,MAX(0,MIN(C27,$F$4-D27))))</f>
        <v/>
      </c>
      <c r="F27" s="27" t="str">
        <f aca="false">IF(A27="","",D27+E27)</f>
        <v/>
      </c>
      <c r="G27" s="27" t="str">
        <f aca="false">IF(A27="","",C27-E27)</f>
        <v/>
      </c>
      <c r="J27" s="20" t="n">
        <f aca="false">IF(AND('ورودی و مقایسه'!$B$14="آماده",ISNUMBER('ورودی و مقایسه'!$N$7)),('ورودی و مقایسه'!$L$7-1)+19,"")</f>
        <v>27</v>
      </c>
      <c r="K27" s="20" t="n">
        <f aca="false">IF(ISNUMBER(J27),'ورودی و مقایسه'!$K$7+INT(J27/12),"")</f>
        <v>1407</v>
      </c>
      <c r="L27" s="20" t="n">
        <f aca="false">IF(ISNUMBER(J27),MOD(J27,12)+1,"")</f>
        <v>4</v>
      </c>
      <c r="M27" s="20" t="n">
        <f aca="false">IF(NOT(ISNUMBER(J27)),"",IFERROR(IF(OR(K27&lt;1390,K27&gt;1429),"",MIN('ورودی و مقایسه'!$M$7,IF(L27&lt;=6,31,IF(L27&lt;=11,30,VLOOKUP(K27+1,تقویم!$A$2:$B$42,2,0)-VLOOKUP(K27,تقویم!$A$2:$B$42,2,0)-336)))),""))</f>
        <v>5</v>
      </c>
    </row>
    <row r="28" customFormat="false" ht="15" hidden="false" customHeight="true" outlineLevel="0" collapsed="false">
      <c r="A28" s="24" t="str">
        <f aca="false">IF('ورودی و مقایسه'!$B$14="آماده",IF(21&lt;='ورودی و مقایسه'!$B$6,21,""),"")</f>
        <v/>
      </c>
      <c r="B28" s="24" t="str">
        <f aca="false">IF(LEN(A28&amp;"")=0,"",IF(ISNUMBER(M28),K28&amp;"/"&amp;TEXT(L28,"00")&amp;"/"&amp;TEXT(M28,"00"),"تاریخ خارج از بازه"))</f>
        <v/>
      </c>
      <c r="C28" s="25" t="str">
        <f aca="false">IF(A28="","",G27)</f>
        <v/>
      </c>
      <c r="D28" s="25" t="str">
        <f aca="false">IF(LEN(A28&amp;"")=0,"",ROUND($C$4*A28/'ورودی و مقایسه'!$B$6,0)-ROUND($C$4*(A28-1)/'ورودی و مقایسه'!$B$6,0))</f>
        <v/>
      </c>
      <c r="E28" s="25" t="str">
        <f aca="false">IF(LEN(A28&amp;"")=0,"",IF(A28='ورودی و مقایسه'!$B$6,C28,MAX(0,MIN(C28,$F$4-D28))))</f>
        <v/>
      </c>
      <c r="F28" s="25" t="str">
        <f aca="false">IF(A28="","",D28+E28)</f>
        <v/>
      </c>
      <c r="G28" s="25" t="str">
        <f aca="false">IF(A28="","",C28-E28)</f>
        <v/>
      </c>
      <c r="J28" s="20" t="n">
        <f aca="false">IF(AND('ورودی و مقایسه'!$B$14="آماده",ISNUMBER('ورودی و مقایسه'!$N$7)),('ورودی و مقایسه'!$L$7-1)+20,"")</f>
        <v>28</v>
      </c>
      <c r="K28" s="20" t="n">
        <f aca="false">IF(ISNUMBER(J28),'ورودی و مقایسه'!$K$7+INT(J28/12),"")</f>
        <v>1407</v>
      </c>
      <c r="L28" s="20" t="n">
        <f aca="false">IF(ISNUMBER(J28),MOD(J28,12)+1,"")</f>
        <v>5</v>
      </c>
      <c r="M28" s="20" t="n">
        <f aca="false">IF(NOT(ISNUMBER(J28)),"",IFERROR(IF(OR(K28&lt;1390,K28&gt;1429),"",MIN('ورودی و مقایسه'!$M$7,IF(L28&lt;=6,31,IF(L28&lt;=11,30,VLOOKUP(K28+1,تقویم!$A$2:$B$42,2,0)-VLOOKUP(K28,تقویم!$A$2:$B$42,2,0)-336)))),""))</f>
        <v>5</v>
      </c>
    </row>
    <row r="29" customFormat="false" ht="15" hidden="false" customHeight="true" outlineLevel="0" collapsed="false">
      <c r="A29" s="26" t="str">
        <f aca="false">IF('ورودی و مقایسه'!$B$14="آماده",IF(22&lt;='ورودی و مقایسه'!$B$6,22,""),"")</f>
        <v/>
      </c>
      <c r="B29" s="26" t="str">
        <f aca="false">IF(LEN(A29&amp;"")=0,"",IF(ISNUMBER(M29),K29&amp;"/"&amp;TEXT(L29,"00")&amp;"/"&amp;TEXT(M29,"00"),"تاریخ خارج از بازه"))</f>
        <v/>
      </c>
      <c r="C29" s="27" t="str">
        <f aca="false">IF(A29="","",G28)</f>
        <v/>
      </c>
      <c r="D29" s="27" t="str">
        <f aca="false">IF(LEN(A29&amp;"")=0,"",ROUND($C$4*A29/'ورودی و مقایسه'!$B$6,0)-ROUND($C$4*(A29-1)/'ورودی و مقایسه'!$B$6,0))</f>
        <v/>
      </c>
      <c r="E29" s="27" t="str">
        <f aca="false">IF(LEN(A29&amp;"")=0,"",IF(A29='ورودی و مقایسه'!$B$6,C29,MAX(0,MIN(C29,$F$4-D29))))</f>
        <v/>
      </c>
      <c r="F29" s="27" t="str">
        <f aca="false">IF(A29="","",D29+E29)</f>
        <v/>
      </c>
      <c r="G29" s="27" t="str">
        <f aca="false">IF(A29="","",C29-E29)</f>
        <v/>
      </c>
      <c r="J29" s="20" t="n">
        <f aca="false">IF(AND('ورودی و مقایسه'!$B$14="آماده",ISNUMBER('ورودی و مقایسه'!$N$7)),('ورودی و مقایسه'!$L$7-1)+21,"")</f>
        <v>29</v>
      </c>
      <c r="K29" s="20" t="n">
        <f aca="false">IF(ISNUMBER(J29),'ورودی و مقایسه'!$K$7+INT(J29/12),"")</f>
        <v>1407</v>
      </c>
      <c r="L29" s="20" t="n">
        <f aca="false">IF(ISNUMBER(J29),MOD(J29,12)+1,"")</f>
        <v>6</v>
      </c>
      <c r="M29" s="20" t="n">
        <f aca="false">IF(NOT(ISNUMBER(J29)),"",IFERROR(IF(OR(K29&lt;1390,K29&gt;1429),"",MIN('ورودی و مقایسه'!$M$7,IF(L29&lt;=6,31,IF(L29&lt;=11,30,VLOOKUP(K29+1,تقویم!$A$2:$B$42,2,0)-VLOOKUP(K29,تقویم!$A$2:$B$42,2,0)-336)))),""))</f>
        <v>5</v>
      </c>
    </row>
    <row r="30" customFormat="false" ht="15" hidden="false" customHeight="true" outlineLevel="0" collapsed="false">
      <c r="A30" s="24" t="str">
        <f aca="false">IF('ورودی و مقایسه'!$B$14="آماده",IF(23&lt;='ورودی و مقایسه'!$B$6,23,""),"")</f>
        <v/>
      </c>
      <c r="B30" s="24" t="str">
        <f aca="false">IF(LEN(A30&amp;"")=0,"",IF(ISNUMBER(M30),K30&amp;"/"&amp;TEXT(L30,"00")&amp;"/"&amp;TEXT(M30,"00"),"تاریخ خارج از بازه"))</f>
        <v/>
      </c>
      <c r="C30" s="25" t="str">
        <f aca="false">IF(A30="","",G29)</f>
        <v/>
      </c>
      <c r="D30" s="25" t="str">
        <f aca="false">IF(LEN(A30&amp;"")=0,"",ROUND($C$4*A30/'ورودی و مقایسه'!$B$6,0)-ROUND($C$4*(A30-1)/'ورودی و مقایسه'!$B$6,0))</f>
        <v/>
      </c>
      <c r="E30" s="25" t="str">
        <f aca="false">IF(LEN(A30&amp;"")=0,"",IF(A30='ورودی و مقایسه'!$B$6,C30,MAX(0,MIN(C30,$F$4-D30))))</f>
        <v/>
      </c>
      <c r="F30" s="25" t="str">
        <f aca="false">IF(A30="","",D30+E30)</f>
        <v/>
      </c>
      <c r="G30" s="25" t="str">
        <f aca="false">IF(A30="","",C30-E30)</f>
        <v/>
      </c>
      <c r="J30" s="20" t="n">
        <f aca="false">IF(AND('ورودی و مقایسه'!$B$14="آماده",ISNUMBER('ورودی و مقایسه'!$N$7)),('ورودی و مقایسه'!$L$7-1)+22,"")</f>
        <v>30</v>
      </c>
      <c r="K30" s="20" t="n">
        <f aca="false">IF(ISNUMBER(J30),'ورودی و مقایسه'!$K$7+INT(J30/12),"")</f>
        <v>1407</v>
      </c>
      <c r="L30" s="20" t="n">
        <f aca="false">IF(ISNUMBER(J30),MOD(J30,12)+1,"")</f>
        <v>7</v>
      </c>
      <c r="M30" s="20" t="n">
        <f aca="false">IF(NOT(ISNUMBER(J30)),"",IFERROR(IF(OR(K30&lt;1390,K30&gt;1429),"",MIN('ورودی و مقایسه'!$M$7,IF(L30&lt;=6,31,IF(L30&lt;=11,30,VLOOKUP(K30+1,تقویم!$A$2:$B$42,2,0)-VLOOKUP(K30,تقویم!$A$2:$B$42,2,0)-336)))),""))</f>
        <v>5</v>
      </c>
    </row>
    <row r="31" customFormat="false" ht="15" hidden="false" customHeight="true" outlineLevel="0" collapsed="false">
      <c r="A31" s="26" t="str">
        <f aca="false">IF('ورودی و مقایسه'!$B$14="آماده",IF(24&lt;='ورودی و مقایسه'!$B$6,24,""),"")</f>
        <v/>
      </c>
      <c r="B31" s="26" t="str">
        <f aca="false">IF(LEN(A31&amp;"")=0,"",IF(ISNUMBER(M31),K31&amp;"/"&amp;TEXT(L31,"00")&amp;"/"&amp;TEXT(M31,"00"),"تاریخ خارج از بازه"))</f>
        <v/>
      </c>
      <c r="C31" s="27" t="str">
        <f aca="false">IF(A31="","",G30)</f>
        <v/>
      </c>
      <c r="D31" s="27" t="str">
        <f aca="false">IF(LEN(A31&amp;"")=0,"",ROUND($C$4*A31/'ورودی و مقایسه'!$B$6,0)-ROUND($C$4*(A31-1)/'ورودی و مقایسه'!$B$6,0))</f>
        <v/>
      </c>
      <c r="E31" s="27" t="str">
        <f aca="false">IF(LEN(A31&amp;"")=0,"",IF(A31='ورودی و مقایسه'!$B$6,C31,MAX(0,MIN(C31,$F$4-D31))))</f>
        <v/>
      </c>
      <c r="F31" s="27" t="str">
        <f aca="false">IF(A31="","",D31+E31)</f>
        <v/>
      </c>
      <c r="G31" s="27" t="str">
        <f aca="false">IF(A31="","",C31-E31)</f>
        <v/>
      </c>
      <c r="J31" s="20" t="n">
        <f aca="false">IF(AND('ورودی و مقایسه'!$B$14="آماده",ISNUMBER('ورودی و مقایسه'!$N$7)),('ورودی و مقایسه'!$L$7-1)+23,"")</f>
        <v>31</v>
      </c>
      <c r="K31" s="20" t="n">
        <f aca="false">IF(ISNUMBER(J31),'ورودی و مقایسه'!$K$7+INT(J31/12),"")</f>
        <v>1407</v>
      </c>
      <c r="L31" s="20" t="n">
        <f aca="false">IF(ISNUMBER(J31),MOD(J31,12)+1,"")</f>
        <v>8</v>
      </c>
      <c r="M31" s="20" t="n">
        <f aca="false">IF(NOT(ISNUMBER(J31)),"",IFERROR(IF(OR(K31&lt;1390,K31&gt;1429),"",MIN('ورودی و مقایسه'!$M$7,IF(L31&lt;=6,31,IF(L31&lt;=11,30,VLOOKUP(K31+1,تقویم!$A$2:$B$42,2,0)-VLOOKUP(K31,تقویم!$A$2:$B$42,2,0)-336)))),""))</f>
        <v>5</v>
      </c>
    </row>
    <row r="32" customFormat="false" ht="15" hidden="false" customHeight="true" outlineLevel="0" collapsed="false">
      <c r="A32" s="24" t="str">
        <f aca="false">IF('ورودی و مقایسه'!$B$14="آماده",IF(25&lt;='ورودی و مقایسه'!$B$6,25,""),"")</f>
        <v/>
      </c>
      <c r="B32" s="24" t="str">
        <f aca="false">IF(LEN(A32&amp;"")=0,"",IF(ISNUMBER(M32),K32&amp;"/"&amp;TEXT(L32,"00")&amp;"/"&amp;TEXT(M32,"00"),"تاریخ خارج از بازه"))</f>
        <v/>
      </c>
      <c r="C32" s="25" t="str">
        <f aca="false">IF(A32="","",G31)</f>
        <v/>
      </c>
      <c r="D32" s="25" t="str">
        <f aca="false">IF(LEN(A32&amp;"")=0,"",ROUND($C$4*A32/'ورودی و مقایسه'!$B$6,0)-ROUND($C$4*(A32-1)/'ورودی و مقایسه'!$B$6,0))</f>
        <v/>
      </c>
      <c r="E32" s="25" t="str">
        <f aca="false">IF(LEN(A32&amp;"")=0,"",IF(A32='ورودی و مقایسه'!$B$6,C32,MAX(0,MIN(C32,$F$4-D32))))</f>
        <v/>
      </c>
      <c r="F32" s="25" t="str">
        <f aca="false">IF(A32="","",D32+E32)</f>
        <v/>
      </c>
      <c r="G32" s="25" t="str">
        <f aca="false">IF(A32="","",C32-E32)</f>
        <v/>
      </c>
      <c r="J32" s="20" t="n">
        <f aca="false">IF(AND('ورودی و مقایسه'!$B$14="آماده",ISNUMBER('ورودی و مقایسه'!$N$7)),('ورودی و مقایسه'!$L$7-1)+24,"")</f>
        <v>32</v>
      </c>
      <c r="K32" s="20" t="n">
        <f aca="false">IF(ISNUMBER(J32),'ورودی و مقایسه'!$K$7+INT(J32/12),"")</f>
        <v>1407</v>
      </c>
      <c r="L32" s="20" t="n">
        <f aca="false">IF(ISNUMBER(J32),MOD(J32,12)+1,"")</f>
        <v>9</v>
      </c>
      <c r="M32" s="20" t="n">
        <f aca="false">IF(NOT(ISNUMBER(J32)),"",IFERROR(IF(OR(K32&lt;1390,K32&gt;1429),"",MIN('ورودی و مقایسه'!$M$7,IF(L32&lt;=6,31,IF(L32&lt;=11,30,VLOOKUP(K32+1,تقویم!$A$2:$B$42,2,0)-VLOOKUP(K32,تقویم!$A$2:$B$42,2,0)-336)))),""))</f>
        <v>5</v>
      </c>
    </row>
    <row r="33" customFormat="false" ht="15" hidden="false" customHeight="true" outlineLevel="0" collapsed="false">
      <c r="A33" s="26" t="str">
        <f aca="false">IF('ورودی و مقایسه'!$B$14="آماده",IF(26&lt;='ورودی و مقایسه'!$B$6,26,""),"")</f>
        <v/>
      </c>
      <c r="B33" s="26" t="str">
        <f aca="false">IF(LEN(A33&amp;"")=0,"",IF(ISNUMBER(M33),K33&amp;"/"&amp;TEXT(L33,"00")&amp;"/"&amp;TEXT(M33,"00"),"تاریخ خارج از بازه"))</f>
        <v/>
      </c>
      <c r="C33" s="27" t="str">
        <f aca="false">IF(A33="","",G32)</f>
        <v/>
      </c>
      <c r="D33" s="27" t="str">
        <f aca="false">IF(LEN(A33&amp;"")=0,"",ROUND($C$4*A33/'ورودی و مقایسه'!$B$6,0)-ROUND($C$4*(A33-1)/'ورودی و مقایسه'!$B$6,0))</f>
        <v/>
      </c>
      <c r="E33" s="27" t="str">
        <f aca="false">IF(LEN(A33&amp;"")=0,"",IF(A33='ورودی و مقایسه'!$B$6,C33,MAX(0,MIN(C33,$F$4-D33))))</f>
        <v/>
      </c>
      <c r="F33" s="27" t="str">
        <f aca="false">IF(A33="","",D33+E33)</f>
        <v/>
      </c>
      <c r="G33" s="27" t="str">
        <f aca="false">IF(A33="","",C33-E33)</f>
        <v/>
      </c>
      <c r="J33" s="20" t="n">
        <f aca="false">IF(AND('ورودی و مقایسه'!$B$14="آماده",ISNUMBER('ورودی و مقایسه'!$N$7)),('ورودی و مقایسه'!$L$7-1)+25,"")</f>
        <v>33</v>
      </c>
      <c r="K33" s="20" t="n">
        <f aca="false">IF(ISNUMBER(J33),'ورودی و مقایسه'!$K$7+INT(J33/12),"")</f>
        <v>1407</v>
      </c>
      <c r="L33" s="20" t="n">
        <f aca="false">IF(ISNUMBER(J33),MOD(J33,12)+1,"")</f>
        <v>10</v>
      </c>
      <c r="M33" s="20" t="n">
        <f aca="false">IF(NOT(ISNUMBER(J33)),"",IFERROR(IF(OR(K33&lt;1390,K33&gt;1429),"",MIN('ورودی و مقایسه'!$M$7,IF(L33&lt;=6,31,IF(L33&lt;=11,30,VLOOKUP(K33+1,تقویم!$A$2:$B$42,2,0)-VLOOKUP(K33,تقویم!$A$2:$B$42,2,0)-336)))),""))</f>
        <v>5</v>
      </c>
    </row>
    <row r="34" customFormat="false" ht="15" hidden="false" customHeight="true" outlineLevel="0" collapsed="false">
      <c r="A34" s="24" t="str">
        <f aca="false">IF('ورودی و مقایسه'!$B$14="آماده",IF(27&lt;='ورودی و مقایسه'!$B$6,27,""),"")</f>
        <v/>
      </c>
      <c r="B34" s="24" t="str">
        <f aca="false">IF(LEN(A34&amp;"")=0,"",IF(ISNUMBER(M34),K34&amp;"/"&amp;TEXT(L34,"00")&amp;"/"&amp;TEXT(M34,"00"),"تاریخ خارج از بازه"))</f>
        <v/>
      </c>
      <c r="C34" s="25" t="str">
        <f aca="false">IF(A34="","",G33)</f>
        <v/>
      </c>
      <c r="D34" s="25" t="str">
        <f aca="false">IF(LEN(A34&amp;"")=0,"",ROUND($C$4*A34/'ورودی و مقایسه'!$B$6,0)-ROUND($C$4*(A34-1)/'ورودی و مقایسه'!$B$6,0))</f>
        <v/>
      </c>
      <c r="E34" s="25" t="str">
        <f aca="false">IF(LEN(A34&amp;"")=0,"",IF(A34='ورودی و مقایسه'!$B$6,C34,MAX(0,MIN(C34,$F$4-D34))))</f>
        <v/>
      </c>
      <c r="F34" s="25" t="str">
        <f aca="false">IF(A34="","",D34+E34)</f>
        <v/>
      </c>
      <c r="G34" s="25" t="str">
        <f aca="false">IF(A34="","",C34-E34)</f>
        <v/>
      </c>
      <c r="J34" s="20" t="n">
        <f aca="false">IF(AND('ورودی و مقایسه'!$B$14="آماده",ISNUMBER('ورودی و مقایسه'!$N$7)),('ورودی و مقایسه'!$L$7-1)+26,"")</f>
        <v>34</v>
      </c>
      <c r="K34" s="20" t="n">
        <f aca="false">IF(ISNUMBER(J34),'ورودی و مقایسه'!$K$7+INT(J34/12),"")</f>
        <v>1407</v>
      </c>
      <c r="L34" s="20" t="n">
        <f aca="false">IF(ISNUMBER(J34),MOD(J34,12)+1,"")</f>
        <v>11</v>
      </c>
      <c r="M34" s="20" t="n">
        <f aca="false">IF(NOT(ISNUMBER(J34)),"",IFERROR(IF(OR(K34&lt;1390,K34&gt;1429),"",MIN('ورودی و مقایسه'!$M$7,IF(L34&lt;=6,31,IF(L34&lt;=11,30,VLOOKUP(K34+1,تقویم!$A$2:$B$42,2,0)-VLOOKUP(K34,تقویم!$A$2:$B$42,2,0)-336)))),""))</f>
        <v>5</v>
      </c>
    </row>
    <row r="35" customFormat="false" ht="15" hidden="false" customHeight="true" outlineLevel="0" collapsed="false">
      <c r="A35" s="26" t="str">
        <f aca="false">IF('ورودی و مقایسه'!$B$14="آماده",IF(28&lt;='ورودی و مقایسه'!$B$6,28,""),"")</f>
        <v/>
      </c>
      <c r="B35" s="26" t="str">
        <f aca="false">IF(LEN(A35&amp;"")=0,"",IF(ISNUMBER(M35),K35&amp;"/"&amp;TEXT(L35,"00")&amp;"/"&amp;TEXT(M35,"00"),"تاریخ خارج از بازه"))</f>
        <v/>
      </c>
      <c r="C35" s="27" t="str">
        <f aca="false">IF(A35="","",G34)</f>
        <v/>
      </c>
      <c r="D35" s="27" t="str">
        <f aca="false">IF(LEN(A35&amp;"")=0,"",ROUND($C$4*A35/'ورودی و مقایسه'!$B$6,0)-ROUND($C$4*(A35-1)/'ورودی و مقایسه'!$B$6,0))</f>
        <v/>
      </c>
      <c r="E35" s="27" t="str">
        <f aca="false">IF(LEN(A35&amp;"")=0,"",IF(A35='ورودی و مقایسه'!$B$6,C35,MAX(0,MIN(C35,$F$4-D35))))</f>
        <v/>
      </c>
      <c r="F35" s="27" t="str">
        <f aca="false">IF(A35="","",D35+E35)</f>
        <v/>
      </c>
      <c r="G35" s="27" t="str">
        <f aca="false">IF(A35="","",C35-E35)</f>
        <v/>
      </c>
      <c r="J35" s="20" t="n">
        <f aca="false">IF(AND('ورودی و مقایسه'!$B$14="آماده",ISNUMBER('ورودی و مقایسه'!$N$7)),('ورودی و مقایسه'!$L$7-1)+27,"")</f>
        <v>35</v>
      </c>
      <c r="K35" s="20" t="n">
        <f aca="false">IF(ISNUMBER(J35),'ورودی و مقایسه'!$K$7+INT(J35/12),"")</f>
        <v>1407</v>
      </c>
      <c r="L35" s="20" t="n">
        <f aca="false">IF(ISNUMBER(J35),MOD(J35,12)+1,"")</f>
        <v>12</v>
      </c>
      <c r="M35" s="20" t="n">
        <f aca="false">IF(NOT(ISNUMBER(J35)),"",IFERROR(IF(OR(K35&lt;1390,K35&gt;1429),"",MIN('ورودی و مقایسه'!$M$7,IF(L35&lt;=6,31,IF(L35&lt;=11,30,VLOOKUP(K35+1,تقویم!$A$2:$B$42,2,0)-VLOOKUP(K35,تقویم!$A$2:$B$42,2,0)-336)))),""))</f>
        <v>5</v>
      </c>
    </row>
    <row r="36" customFormat="false" ht="15" hidden="false" customHeight="true" outlineLevel="0" collapsed="false">
      <c r="A36" s="24" t="str">
        <f aca="false">IF('ورودی و مقایسه'!$B$14="آماده",IF(29&lt;='ورودی و مقایسه'!$B$6,29,""),"")</f>
        <v/>
      </c>
      <c r="B36" s="24" t="str">
        <f aca="false">IF(LEN(A36&amp;"")=0,"",IF(ISNUMBER(M36),K36&amp;"/"&amp;TEXT(L36,"00")&amp;"/"&amp;TEXT(M36,"00"),"تاریخ خارج از بازه"))</f>
        <v/>
      </c>
      <c r="C36" s="25" t="str">
        <f aca="false">IF(A36="","",G35)</f>
        <v/>
      </c>
      <c r="D36" s="25" t="str">
        <f aca="false">IF(LEN(A36&amp;"")=0,"",ROUND($C$4*A36/'ورودی و مقایسه'!$B$6,0)-ROUND($C$4*(A36-1)/'ورودی و مقایسه'!$B$6,0))</f>
        <v/>
      </c>
      <c r="E36" s="25" t="str">
        <f aca="false">IF(LEN(A36&amp;"")=0,"",IF(A36='ورودی و مقایسه'!$B$6,C36,MAX(0,MIN(C36,$F$4-D36))))</f>
        <v/>
      </c>
      <c r="F36" s="25" t="str">
        <f aca="false">IF(A36="","",D36+E36)</f>
        <v/>
      </c>
      <c r="G36" s="25" t="str">
        <f aca="false">IF(A36="","",C36-E36)</f>
        <v/>
      </c>
      <c r="J36" s="20" t="n">
        <f aca="false">IF(AND('ورودی و مقایسه'!$B$14="آماده",ISNUMBER('ورودی و مقایسه'!$N$7)),('ورودی و مقایسه'!$L$7-1)+28,"")</f>
        <v>36</v>
      </c>
      <c r="K36" s="20" t="n">
        <f aca="false">IF(ISNUMBER(J36),'ورودی و مقایسه'!$K$7+INT(J36/12),"")</f>
        <v>1408</v>
      </c>
      <c r="L36" s="20" t="n">
        <f aca="false">IF(ISNUMBER(J36),MOD(J36,12)+1,"")</f>
        <v>1</v>
      </c>
      <c r="M36" s="20" t="n">
        <f aca="false">IF(NOT(ISNUMBER(J36)),"",IFERROR(IF(OR(K36&lt;1390,K36&gt;1429),"",MIN('ورودی و مقایسه'!$M$7,IF(L36&lt;=6,31,IF(L36&lt;=11,30,VLOOKUP(K36+1,تقویم!$A$2:$B$42,2,0)-VLOOKUP(K36,تقویم!$A$2:$B$42,2,0)-336)))),""))</f>
        <v>5</v>
      </c>
    </row>
    <row r="37" customFormat="false" ht="15" hidden="false" customHeight="true" outlineLevel="0" collapsed="false">
      <c r="A37" s="26" t="str">
        <f aca="false">IF('ورودی و مقایسه'!$B$14="آماده",IF(30&lt;='ورودی و مقایسه'!$B$6,30,""),"")</f>
        <v/>
      </c>
      <c r="B37" s="26" t="str">
        <f aca="false">IF(LEN(A37&amp;"")=0,"",IF(ISNUMBER(M37),K37&amp;"/"&amp;TEXT(L37,"00")&amp;"/"&amp;TEXT(M37,"00"),"تاریخ خارج از بازه"))</f>
        <v/>
      </c>
      <c r="C37" s="27" t="str">
        <f aca="false">IF(A37="","",G36)</f>
        <v/>
      </c>
      <c r="D37" s="27" t="str">
        <f aca="false">IF(LEN(A37&amp;"")=0,"",ROUND($C$4*A37/'ورودی و مقایسه'!$B$6,0)-ROUND($C$4*(A37-1)/'ورودی و مقایسه'!$B$6,0))</f>
        <v/>
      </c>
      <c r="E37" s="27" t="str">
        <f aca="false">IF(LEN(A37&amp;"")=0,"",IF(A37='ورودی و مقایسه'!$B$6,C37,MAX(0,MIN(C37,$F$4-D37))))</f>
        <v/>
      </c>
      <c r="F37" s="27" t="str">
        <f aca="false">IF(A37="","",D37+E37)</f>
        <v/>
      </c>
      <c r="G37" s="27" t="str">
        <f aca="false">IF(A37="","",C37-E37)</f>
        <v/>
      </c>
      <c r="J37" s="20" t="n">
        <f aca="false">IF(AND('ورودی و مقایسه'!$B$14="آماده",ISNUMBER('ورودی و مقایسه'!$N$7)),('ورودی و مقایسه'!$L$7-1)+29,"")</f>
        <v>37</v>
      </c>
      <c r="K37" s="20" t="n">
        <f aca="false">IF(ISNUMBER(J37),'ورودی و مقایسه'!$K$7+INT(J37/12),"")</f>
        <v>1408</v>
      </c>
      <c r="L37" s="20" t="n">
        <f aca="false">IF(ISNUMBER(J37),MOD(J37,12)+1,"")</f>
        <v>2</v>
      </c>
      <c r="M37" s="20" t="n">
        <f aca="false">IF(NOT(ISNUMBER(J37)),"",IFERROR(IF(OR(K37&lt;1390,K37&gt;1429),"",MIN('ورودی و مقایسه'!$M$7,IF(L37&lt;=6,31,IF(L37&lt;=11,30,VLOOKUP(K37+1,تقویم!$A$2:$B$42,2,0)-VLOOKUP(K37,تقویم!$A$2:$B$42,2,0)-336)))),""))</f>
        <v>5</v>
      </c>
    </row>
    <row r="38" customFormat="false" ht="15" hidden="false" customHeight="true" outlineLevel="0" collapsed="false">
      <c r="A38" s="24" t="str">
        <f aca="false">IF('ورودی و مقایسه'!$B$14="آماده",IF(31&lt;='ورودی و مقایسه'!$B$6,31,""),"")</f>
        <v/>
      </c>
      <c r="B38" s="24" t="str">
        <f aca="false">IF(LEN(A38&amp;"")=0,"",IF(ISNUMBER(M38),K38&amp;"/"&amp;TEXT(L38,"00")&amp;"/"&amp;TEXT(M38,"00"),"تاریخ خارج از بازه"))</f>
        <v/>
      </c>
      <c r="C38" s="25" t="str">
        <f aca="false">IF(A38="","",G37)</f>
        <v/>
      </c>
      <c r="D38" s="25" t="str">
        <f aca="false">IF(LEN(A38&amp;"")=0,"",ROUND($C$4*A38/'ورودی و مقایسه'!$B$6,0)-ROUND($C$4*(A38-1)/'ورودی و مقایسه'!$B$6,0))</f>
        <v/>
      </c>
      <c r="E38" s="25" t="str">
        <f aca="false">IF(LEN(A38&amp;"")=0,"",IF(A38='ورودی و مقایسه'!$B$6,C38,MAX(0,MIN(C38,$F$4-D38))))</f>
        <v/>
      </c>
      <c r="F38" s="25" t="str">
        <f aca="false">IF(A38="","",D38+E38)</f>
        <v/>
      </c>
      <c r="G38" s="25" t="str">
        <f aca="false">IF(A38="","",C38-E38)</f>
        <v/>
      </c>
      <c r="J38" s="20" t="n">
        <f aca="false">IF(AND('ورودی و مقایسه'!$B$14="آماده",ISNUMBER('ورودی و مقایسه'!$N$7)),('ورودی و مقایسه'!$L$7-1)+30,"")</f>
        <v>38</v>
      </c>
      <c r="K38" s="20" t="n">
        <f aca="false">IF(ISNUMBER(J38),'ورودی و مقایسه'!$K$7+INT(J38/12),"")</f>
        <v>1408</v>
      </c>
      <c r="L38" s="20" t="n">
        <f aca="false">IF(ISNUMBER(J38),MOD(J38,12)+1,"")</f>
        <v>3</v>
      </c>
      <c r="M38" s="20" t="n">
        <f aca="false">IF(NOT(ISNUMBER(J38)),"",IFERROR(IF(OR(K38&lt;1390,K38&gt;1429),"",MIN('ورودی و مقایسه'!$M$7,IF(L38&lt;=6,31,IF(L38&lt;=11,30,VLOOKUP(K38+1,تقویم!$A$2:$B$42,2,0)-VLOOKUP(K38,تقویم!$A$2:$B$42,2,0)-336)))),""))</f>
        <v>5</v>
      </c>
    </row>
    <row r="39" customFormat="false" ht="15" hidden="false" customHeight="true" outlineLevel="0" collapsed="false">
      <c r="A39" s="26" t="str">
        <f aca="false">IF('ورودی و مقایسه'!$B$14="آماده",IF(32&lt;='ورودی و مقایسه'!$B$6,32,""),"")</f>
        <v/>
      </c>
      <c r="B39" s="26" t="str">
        <f aca="false">IF(LEN(A39&amp;"")=0,"",IF(ISNUMBER(M39),K39&amp;"/"&amp;TEXT(L39,"00")&amp;"/"&amp;TEXT(M39,"00"),"تاریخ خارج از بازه"))</f>
        <v/>
      </c>
      <c r="C39" s="27" t="str">
        <f aca="false">IF(A39="","",G38)</f>
        <v/>
      </c>
      <c r="D39" s="27" t="str">
        <f aca="false">IF(LEN(A39&amp;"")=0,"",ROUND($C$4*A39/'ورودی و مقایسه'!$B$6,0)-ROUND($C$4*(A39-1)/'ورودی و مقایسه'!$B$6,0))</f>
        <v/>
      </c>
      <c r="E39" s="27" t="str">
        <f aca="false">IF(LEN(A39&amp;"")=0,"",IF(A39='ورودی و مقایسه'!$B$6,C39,MAX(0,MIN(C39,$F$4-D39))))</f>
        <v/>
      </c>
      <c r="F39" s="27" t="str">
        <f aca="false">IF(A39="","",D39+E39)</f>
        <v/>
      </c>
      <c r="G39" s="27" t="str">
        <f aca="false">IF(A39="","",C39-E39)</f>
        <v/>
      </c>
      <c r="J39" s="20" t="n">
        <f aca="false">IF(AND('ورودی و مقایسه'!$B$14="آماده",ISNUMBER('ورودی و مقایسه'!$N$7)),('ورودی و مقایسه'!$L$7-1)+31,"")</f>
        <v>39</v>
      </c>
      <c r="K39" s="20" t="n">
        <f aca="false">IF(ISNUMBER(J39),'ورودی و مقایسه'!$K$7+INT(J39/12),"")</f>
        <v>1408</v>
      </c>
      <c r="L39" s="20" t="n">
        <f aca="false">IF(ISNUMBER(J39),MOD(J39,12)+1,"")</f>
        <v>4</v>
      </c>
      <c r="M39" s="20" t="n">
        <f aca="false">IF(NOT(ISNUMBER(J39)),"",IFERROR(IF(OR(K39&lt;1390,K39&gt;1429),"",MIN('ورودی و مقایسه'!$M$7,IF(L39&lt;=6,31,IF(L39&lt;=11,30,VLOOKUP(K39+1,تقویم!$A$2:$B$42,2,0)-VLOOKUP(K39,تقویم!$A$2:$B$42,2,0)-336)))),""))</f>
        <v>5</v>
      </c>
    </row>
    <row r="40" customFormat="false" ht="15" hidden="false" customHeight="true" outlineLevel="0" collapsed="false">
      <c r="A40" s="24" t="str">
        <f aca="false">IF('ورودی و مقایسه'!$B$14="آماده",IF(33&lt;='ورودی و مقایسه'!$B$6,33,""),"")</f>
        <v/>
      </c>
      <c r="B40" s="24" t="str">
        <f aca="false">IF(LEN(A40&amp;"")=0,"",IF(ISNUMBER(M40),K40&amp;"/"&amp;TEXT(L40,"00")&amp;"/"&amp;TEXT(M40,"00"),"تاریخ خارج از بازه"))</f>
        <v/>
      </c>
      <c r="C40" s="25" t="str">
        <f aca="false">IF(A40="","",G39)</f>
        <v/>
      </c>
      <c r="D40" s="25" t="str">
        <f aca="false">IF(LEN(A40&amp;"")=0,"",ROUND($C$4*A40/'ورودی و مقایسه'!$B$6,0)-ROUND($C$4*(A40-1)/'ورودی و مقایسه'!$B$6,0))</f>
        <v/>
      </c>
      <c r="E40" s="25" t="str">
        <f aca="false">IF(LEN(A40&amp;"")=0,"",IF(A40='ورودی و مقایسه'!$B$6,C40,MAX(0,MIN(C40,$F$4-D40))))</f>
        <v/>
      </c>
      <c r="F40" s="25" t="str">
        <f aca="false">IF(A40="","",D40+E40)</f>
        <v/>
      </c>
      <c r="G40" s="25" t="str">
        <f aca="false">IF(A40="","",C40-E40)</f>
        <v/>
      </c>
      <c r="J40" s="20" t="n">
        <f aca="false">IF(AND('ورودی و مقایسه'!$B$14="آماده",ISNUMBER('ورودی و مقایسه'!$N$7)),('ورودی و مقایسه'!$L$7-1)+32,"")</f>
        <v>40</v>
      </c>
      <c r="K40" s="20" t="n">
        <f aca="false">IF(ISNUMBER(J40),'ورودی و مقایسه'!$K$7+INT(J40/12),"")</f>
        <v>1408</v>
      </c>
      <c r="L40" s="20" t="n">
        <f aca="false">IF(ISNUMBER(J40),MOD(J40,12)+1,"")</f>
        <v>5</v>
      </c>
      <c r="M40" s="20" t="n">
        <f aca="false">IF(NOT(ISNUMBER(J40)),"",IFERROR(IF(OR(K40&lt;1390,K40&gt;1429),"",MIN('ورودی و مقایسه'!$M$7,IF(L40&lt;=6,31,IF(L40&lt;=11,30,VLOOKUP(K40+1,تقویم!$A$2:$B$42,2,0)-VLOOKUP(K40,تقویم!$A$2:$B$42,2,0)-336)))),""))</f>
        <v>5</v>
      </c>
    </row>
    <row r="41" customFormat="false" ht="15" hidden="false" customHeight="true" outlineLevel="0" collapsed="false">
      <c r="A41" s="26" t="str">
        <f aca="false">IF('ورودی و مقایسه'!$B$14="آماده",IF(34&lt;='ورودی و مقایسه'!$B$6,34,""),"")</f>
        <v/>
      </c>
      <c r="B41" s="26" t="str">
        <f aca="false">IF(LEN(A41&amp;"")=0,"",IF(ISNUMBER(M41),K41&amp;"/"&amp;TEXT(L41,"00")&amp;"/"&amp;TEXT(M41,"00"),"تاریخ خارج از بازه"))</f>
        <v/>
      </c>
      <c r="C41" s="27" t="str">
        <f aca="false">IF(A41="","",G40)</f>
        <v/>
      </c>
      <c r="D41" s="27" t="str">
        <f aca="false">IF(LEN(A41&amp;"")=0,"",ROUND($C$4*A41/'ورودی و مقایسه'!$B$6,0)-ROUND($C$4*(A41-1)/'ورودی و مقایسه'!$B$6,0))</f>
        <v/>
      </c>
      <c r="E41" s="27" t="str">
        <f aca="false">IF(LEN(A41&amp;"")=0,"",IF(A41='ورودی و مقایسه'!$B$6,C41,MAX(0,MIN(C41,$F$4-D41))))</f>
        <v/>
      </c>
      <c r="F41" s="27" t="str">
        <f aca="false">IF(A41="","",D41+E41)</f>
        <v/>
      </c>
      <c r="G41" s="27" t="str">
        <f aca="false">IF(A41="","",C41-E41)</f>
        <v/>
      </c>
      <c r="J41" s="20" t="n">
        <f aca="false">IF(AND('ورودی و مقایسه'!$B$14="آماده",ISNUMBER('ورودی و مقایسه'!$N$7)),('ورودی و مقایسه'!$L$7-1)+33,"")</f>
        <v>41</v>
      </c>
      <c r="K41" s="20" t="n">
        <f aca="false">IF(ISNUMBER(J41),'ورودی و مقایسه'!$K$7+INT(J41/12),"")</f>
        <v>1408</v>
      </c>
      <c r="L41" s="20" t="n">
        <f aca="false">IF(ISNUMBER(J41),MOD(J41,12)+1,"")</f>
        <v>6</v>
      </c>
      <c r="M41" s="20" t="n">
        <f aca="false">IF(NOT(ISNUMBER(J41)),"",IFERROR(IF(OR(K41&lt;1390,K41&gt;1429),"",MIN('ورودی و مقایسه'!$M$7,IF(L41&lt;=6,31,IF(L41&lt;=11,30,VLOOKUP(K41+1,تقویم!$A$2:$B$42,2,0)-VLOOKUP(K41,تقویم!$A$2:$B$42,2,0)-336)))),""))</f>
        <v>5</v>
      </c>
    </row>
    <row r="42" customFormat="false" ht="15" hidden="false" customHeight="true" outlineLevel="0" collapsed="false">
      <c r="A42" s="24" t="str">
        <f aca="false">IF('ورودی و مقایسه'!$B$14="آماده",IF(35&lt;='ورودی و مقایسه'!$B$6,35,""),"")</f>
        <v/>
      </c>
      <c r="B42" s="24" t="str">
        <f aca="false">IF(LEN(A42&amp;"")=0,"",IF(ISNUMBER(M42),K42&amp;"/"&amp;TEXT(L42,"00")&amp;"/"&amp;TEXT(M42,"00"),"تاریخ خارج از بازه"))</f>
        <v/>
      </c>
      <c r="C42" s="25" t="str">
        <f aca="false">IF(A42="","",G41)</f>
        <v/>
      </c>
      <c r="D42" s="25" t="str">
        <f aca="false">IF(LEN(A42&amp;"")=0,"",ROUND($C$4*A42/'ورودی و مقایسه'!$B$6,0)-ROUND($C$4*(A42-1)/'ورودی و مقایسه'!$B$6,0))</f>
        <v/>
      </c>
      <c r="E42" s="25" t="str">
        <f aca="false">IF(LEN(A42&amp;"")=0,"",IF(A42='ورودی و مقایسه'!$B$6,C42,MAX(0,MIN(C42,$F$4-D42))))</f>
        <v/>
      </c>
      <c r="F42" s="25" t="str">
        <f aca="false">IF(A42="","",D42+E42)</f>
        <v/>
      </c>
      <c r="G42" s="25" t="str">
        <f aca="false">IF(A42="","",C42-E42)</f>
        <v/>
      </c>
      <c r="J42" s="20" t="n">
        <f aca="false">IF(AND('ورودی و مقایسه'!$B$14="آماده",ISNUMBER('ورودی و مقایسه'!$N$7)),('ورودی و مقایسه'!$L$7-1)+34,"")</f>
        <v>42</v>
      </c>
      <c r="K42" s="20" t="n">
        <f aca="false">IF(ISNUMBER(J42),'ورودی و مقایسه'!$K$7+INT(J42/12),"")</f>
        <v>1408</v>
      </c>
      <c r="L42" s="20" t="n">
        <f aca="false">IF(ISNUMBER(J42),MOD(J42,12)+1,"")</f>
        <v>7</v>
      </c>
      <c r="M42" s="20" t="n">
        <f aca="false">IF(NOT(ISNUMBER(J42)),"",IFERROR(IF(OR(K42&lt;1390,K42&gt;1429),"",MIN('ورودی و مقایسه'!$M$7,IF(L42&lt;=6,31,IF(L42&lt;=11,30,VLOOKUP(K42+1,تقویم!$A$2:$B$42,2,0)-VLOOKUP(K42,تقویم!$A$2:$B$42,2,0)-336)))),""))</f>
        <v>5</v>
      </c>
    </row>
    <row r="43" customFormat="false" ht="15" hidden="false" customHeight="true" outlineLevel="0" collapsed="false">
      <c r="A43" s="26" t="str">
        <f aca="false">IF('ورودی و مقایسه'!$B$14="آماده",IF(36&lt;='ورودی و مقایسه'!$B$6,36,""),"")</f>
        <v/>
      </c>
      <c r="B43" s="26" t="str">
        <f aca="false">IF(LEN(A43&amp;"")=0,"",IF(ISNUMBER(M43),K43&amp;"/"&amp;TEXT(L43,"00")&amp;"/"&amp;TEXT(M43,"00"),"تاریخ خارج از بازه"))</f>
        <v/>
      </c>
      <c r="C43" s="27" t="str">
        <f aca="false">IF(A43="","",G42)</f>
        <v/>
      </c>
      <c r="D43" s="27" t="str">
        <f aca="false">IF(LEN(A43&amp;"")=0,"",ROUND($C$4*A43/'ورودی و مقایسه'!$B$6,0)-ROUND($C$4*(A43-1)/'ورودی و مقایسه'!$B$6,0))</f>
        <v/>
      </c>
      <c r="E43" s="27" t="str">
        <f aca="false">IF(LEN(A43&amp;"")=0,"",IF(A43='ورودی و مقایسه'!$B$6,C43,MAX(0,MIN(C43,$F$4-D43))))</f>
        <v/>
      </c>
      <c r="F43" s="27" t="str">
        <f aca="false">IF(A43="","",D43+E43)</f>
        <v/>
      </c>
      <c r="G43" s="27" t="str">
        <f aca="false">IF(A43="","",C43-E43)</f>
        <v/>
      </c>
      <c r="J43" s="20" t="n">
        <f aca="false">IF(AND('ورودی و مقایسه'!$B$14="آماده",ISNUMBER('ورودی و مقایسه'!$N$7)),('ورودی و مقایسه'!$L$7-1)+35,"")</f>
        <v>43</v>
      </c>
      <c r="K43" s="20" t="n">
        <f aca="false">IF(ISNUMBER(J43),'ورودی و مقایسه'!$K$7+INT(J43/12),"")</f>
        <v>1408</v>
      </c>
      <c r="L43" s="20" t="n">
        <f aca="false">IF(ISNUMBER(J43),MOD(J43,12)+1,"")</f>
        <v>8</v>
      </c>
      <c r="M43" s="20" t="n">
        <f aca="false">IF(NOT(ISNUMBER(J43)),"",IFERROR(IF(OR(K43&lt;1390,K43&gt;1429),"",MIN('ورودی و مقایسه'!$M$7,IF(L43&lt;=6,31,IF(L43&lt;=11,30,VLOOKUP(K43+1,تقویم!$A$2:$B$42,2,0)-VLOOKUP(K43,تقویم!$A$2:$B$42,2,0)-336)))),""))</f>
        <v>5</v>
      </c>
    </row>
    <row r="44" customFormat="false" ht="15" hidden="false" customHeight="true" outlineLevel="0" collapsed="false">
      <c r="A44" s="24" t="str">
        <f aca="false">IF('ورودی و مقایسه'!$B$14="آماده",IF(37&lt;='ورودی و مقایسه'!$B$6,37,""),"")</f>
        <v/>
      </c>
      <c r="B44" s="24" t="str">
        <f aca="false">IF(LEN(A44&amp;"")=0,"",IF(ISNUMBER(M44),K44&amp;"/"&amp;TEXT(L44,"00")&amp;"/"&amp;TEXT(M44,"00"),"تاریخ خارج از بازه"))</f>
        <v/>
      </c>
      <c r="C44" s="25" t="str">
        <f aca="false">IF(A44="","",G43)</f>
        <v/>
      </c>
      <c r="D44" s="25" t="str">
        <f aca="false">IF(LEN(A44&amp;"")=0,"",ROUND($C$4*A44/'ورودی و مقایسه'!$B$6,0)-ROUND($C$4*(A44-1)/'ورودی و مقایسه'!$B$6,0))</f>
        <v/>
      </c>
      <c r="E44" s="25" t="str">
        <f aca="false">IF(LEN(A44&amp;"")=0,"",IF(A44='ورودی و مقایسه'!$B$6,C44,MAX(0,MIN(C44,$F$4-D44))))</f>
        <v/>
      </c>
      <c r="F44" s="25" t="str">
        <f aca="false">IF(A44="","",D44+E44)</f>
        <v/>
      </c>
      <c r="G44" s="25" t="str">
        <f aca="false">IF(A44="","",C44-E44)</f>
        <v/>
      </c>
      <c r="J44" s="20" t="n">
        <f aca="false">IF(AND('ورودی و مقایسه'!$B$14="آماده",ISNUMBER('ورودی و مقایسه'!$N$7)),('ورودی و مقایسه'!$L$7-1)+36,"")</f>
        <v>44</v>
      </c>
      <c r="K44" s="20" t="n">
        <f aca="false">IF(ISNUMBER(J44),'ورودی و مقایسه'!$K$7+INT(J44/12),"")</f>
        <v>1408</v>
      </c>
      <c r="L44" s="20" t="n">
        <f aca="false">IF(ISNUMBER(J44),MOD(J44,12)+1,"")</f>
        <v>9</v>
      </c>
      <c r="M44" s="20" t="n">
        <f aca="false">IF(NOT(ISNUMBER(J44)),"",IFERROR(IF(OR(K44&lt;1390,K44&gt;1429),"",MIN('ورودی و مقایسه'!$M$7,IF(L44&lt;=6,31,IF(L44&lt;=11,30,VLOOKUP(K44+1,تقویم!$A$2:$B$42,2,0)-VLOOKUP(K44,تقویم!$A$2:$B$42,2,0)-336)))),""))</f>
        <v>5</v>
      </c>
    </row>
    <row r="45" customFormat="false" ht="15" hidden="false" customHeight="true" outlineLevel="0" collapsed="false">
      <c r="A45" s="26" t="str">
        <f aca="false">IF('ورودی و مقایسه'!$B$14="آماده",IF(38&lt;='ورودی و مقایسه'!$B$6,38,""),"")</f>
        <v/>
      </c>
      <c r="B45" s="26" t="str">
        <f aca="false">IF(LEN(A45&amp;"")=0,"",IF(ISNUMBER(M45),K45&amp;"/"&amp;TEXT(L45,"00")&amp;"/"&amp;TEXT(M45,"00"),"تاریخ خارج از بازه"))</f>
        <v/>
      </c>
      <c r="C45" s="27" t="str">
        <f aca="false">IF(A45="","",G44)</f>
        <v/>
      </c>
      <c r="D45" s="27" t="str">
        <f aca="false">IF(LEN(A45&amp;"")=0,"",ROUND($C$4*A45/'ورودی و مقایسه'!$B$6,0)-ROUND($C$4*(A45-1)/'ورودی و مقایسه'!$B$6,0))</f>
        <v/>
      </c>
      <c r="E45" s="27" t="str">
        <f aca="false">IF(LEN(A45&amp;"")=0,"",IF(A45='ورودی و مقایسه'!$B$6,C45,MAX(0,MIN(C45,$F$4-D45))))</f>
        <v/>
      </c>
      <c r="F45" s="27" t="str">
        <f aca="false">IF(A45="","",D45+E45)</f>
        <v/>
      </c>
      <c r="G45" s="27" t="str">
        <f aca="false">IF(A45="","",C45-E45)</f>
        <v/>
      </c>
      <c r="J45" s="20" t="n">
        <f aca="false">IF(AND('ورودی و مقایسه'!$B$14="آماده",ISNUMBER('ورودی و مقایسه'!$N$7)),('ورودی و مقایسه'!$L$7-1)+37,"")</f>
        <v>45</v>
      </c>
      <c r="K45" s="20" t="n">
        <f aca="false">IF(ISNUMBER(J45),'ورودی و مقایسه'!$K$7+INT(J45/12),"")</f>
        <v>1408</v>
      </c>
      <c r="L45" s="20" t="n">
        <f aca="false">IF(ISNUMBER(J45),MOD(J45,12)+1,"")</f>
        <v>10</v>
      </c>
      <c r="M45" s="20" t="n">
        <f aca="false">IF(NOT(ISNUMBER(J45)),"",IFERROR(IF(OR(K45&lt;1390,K45&gt;1429),"",MIN('ورودی و مقایسه'!$M$7,IF(L45&lt;=6,31,IF(L45&lt;=11,30,VLOOKUP(K45+1,تقویم!$A$2:$B$42,2,0)-VLOOKUP(K45,تقویم!$A$2:$B$42,2,0)-336)))),""))</f>
        <v>5</v>
      </c>
    </row>
    <row r="46" customFormat="false" ht="15" hidden="false" customHeight="true" outlineLevel="0" collapsed="false">
      <c r="A46" s="24" t="str">
        <f aca="false">IF('ورودی و مقایسه'!$B$14="آماده",IF(39&lt;='ورودی و مقایسه'!$B$6,39,""),"")</f>
        <v/>
      </c>
      <c r="B46" s="24" t="str">
        <f aca="false">IF(LEN(A46&amp;"")=0,"",IF(ISNUMBER(M46),K46&amp;"/"&amp;TEXT(L46,"00")&amp;"/"&amp;TEXT(M46,"00"),"تاریخ خارج از بازه"))</f>
        <v/>
      </c>
      <c r="C46" s="25" t="str">
        <f aca="false">IF(A46="","",G45)</f>
        <v/>
      </c>
      <c r="D46" s="25" t="str">
        <f aca="false">IF(LEN(A46&amp;"")=0,"",ROUND($C$4*A46/'ورودی و مقایسه'!$B$6,0)-ROUND($C$4*(A46-1)/'ورودی و مقایسه'!$B$6,0))</f>
        <v/>
      </c>
      <c r="E46" s="25" t="str">
        <f aca="false">IF(LEN(A46&amp;"")=0,"",IF(A46='ورودی و مقایسه'!$B$6,C46,MAX(0,MIN(C46,$F$4-D46))))</f>
        <v/>
      </c>
      <c r="F46" s="25" t="str">
        <f aca="false">IF(A46="","",D46+E46)</f>
        <v/>
      </c>
      <c r="G46" s="25" t="str">
        <f aca="false">IF(A46="","",C46-E46)</f>
        <v/>
      </c>
      <c r="J46" s="20" t="n">
        <f aca="false">IF(AND('ورودی و مقایسه'!$B$14="آماده",ISNUMBER('ورودی و مقایسه'!$N$7)),('ورودی و مقایسه'!$L$7-1)+38,"")</f>
        <v>46</v>
      </c>
      <c r="K46" s="20" t="n">
        <f aca="false">IF(ISNUMBER(J46),'ورودی و مقایسه'!$K$7+INT(J46/12),"")</f>
        <v>1408</v>
      </c>
      <c r="L46" s="20" t="n">
        <f aca="false">IF(ISNUMBER(J46),MOD(J46,12)+1,"")</f>
        <v>11</v>
      </c>
      <c r="M46" s="20" t="n">
        <f aca="false">IF(NOT(ISNUMBER(J46)),"",IFERROR(IF(OR(K46&lt;1390,K46&gt;1429),"",MIN('ورودی و مقایسه'!$M$7,IF(L46&lt;=6,31,IF(L46&lt;=11,30,VLOOKUP(K46+1,تقویم!$A$2:$B$42,2,0)-VLOOKUP(K46,تقویم!$A$2:$B$42,2,0)-336)))),""))</f>
        <v>5</v>
      </c>
    </row>
    <row r="47" customFormat="false" ht="15" hidden="false" customHeight="true" outlineLevel="0" collapsed="false">
      <c r="A47" s="26" t="str">
        <f aca="false">IF('ورودی و مقایسه'!$B$14="آماده",IF(40&lt;='ورودی و مقایسه'!$B$6,40,""),"")</f>
        <v/>
      </c>
      <c r="B47" s="26" t="str">
        <f aca="false">IF(LEN(A47&amp;"")=0,"",IF(ISNUMBER(M47),K47&amp;"/"&amp;TEXT(L47,"00")&amp;"/"&amp;TEXT(M47,"00"),"تاریخ خارج از بازه"))</f>
        <v/>
      </c>
      <c r="C47" s="27" t="str">
        <f aca="false">IF(A47="","",G46)</f>
        <v/>
      </c>
      <c r="D47" s="27" t="str">
        <f aca="false">IF(LEN(A47&amp;"")=0,"",ROUND($C$4*A47/'ورودی و مقایسه'!$B$6,0)-ROUND($C$4*(A47-1)/'ورودی و مقایسه'!$B$6,0))</f>
        <v/>
      </c>
      <c r="E47" s="27" t="str">
        <f aca="false">IF(LEN(A47&amp;"")=0,"",IF(A47='ورودی و مقایسه'!$B$6,C47,MAX(0,MIN(C47,$F$4-D47))))</f>
        <v/>
      </c>
      <c r="F47" s="27" t="str">
        <f aca="false">IF(A47="","",D47+E47)</f>
        <v/>
      </c>
      <c r="G47" s="27" t="str">
        <f aca="false">IF(A47="","",C47-E47)</f>
        <v/>
      </c>
      <c r="J47" s="20" t="n">
        <f aca="false">IF(AND('ورودی و مقایسه'!$B$14="آماده",ISNUMBER('ورودی و مقایسه'!$N$7)),('ورودی و مقایسه'!$L$7-1)+39,"")</f>
        <v>47</v>
      </c>
      <c r="K47" s="20" t="n">
        <f aca="false">IF(ISNUMBER(J47),'ورودی و مقایسه'!$K$7+INT(J47/12),"")</f>
        <v>1408</v>
      </c>
      <c r="L47" s="20" t="n">
        <f aca="false">IF(ISNUMBER(J47),MOD(J47,12)+1,"")</f>
        <v>12</v>
      </c>
      <c r="M47" s="20" t="n">
        <f aca="false">IF(NOT(ISNUMBER(J47)),"",IFERROR(IF(OR(K47&lt;1390,K47&gt;1429),"",MIN('ورودی و مقایسه'!$M$7,IF(L47&lt;=6,31,IF(L47&lt;=11,30,VLOOKUP(K47+1,تقویم!$A$2:$B$42,2,0)-VLOOKUP(K47,تقویم!$A$2:$B$42,2,0)-336)))),""))</f>
        <v>5</v>
      </c>
    </row>
    <row r="48" customFormat="false" ht="15" hidden="false" customHeight="true" outlineLevel="0" collapsed="false">
      <c r="A48" s="24" t="str">
        <f aca="false">IF('ورودی و مقایسه'!$B$14="آماده",IF(41&lt;='ورودی و مقایسه'!$B$6,41,""),"")</f>
        <v/>
      </c>
      <c r="B48" s="24" t="str">
        <f aca="false">IF(LEN(A48&amp;"")=0,"",IF(ISNUMBER(M48),K48&amp;"/"&amp;TEXT(L48,"00")&amp;"/"&amp;TEXT(M48,"00"),"تاریخ خارج از بازه"))</f>
        <v/>
      </c>
      <c r="C48" s="25" t="str">
        <f aca="false">IF(A48="","",G47)</f>
        <v/>
      </c>
      <c r="D48" s="25" t="str">
        <f aca="false">IF(LEN(A48&amp;"")=0,"",ROUND($C$4*A48/'ورودی و مقایسه'!$B$6,0)-ROUND($C$4*(A48-1)/'ورودی و مقایسه'!$B$6,0))</f>
        <v/>
      </c>
      <c r="E48" s="25" t="str">
        <f aca="false">IF(LEN(A48&amp;"")=0,"",IF(A48='ورودی و مقایسه'!$B$6,C48,MAX(0,MIN(C48,$F$4-D48))))</f>
        <v/>
      </c>
      <c r="F48" s="25" t="str">
        <f aca="false">IF(A48="","",D48+E48)</f>
        <v/>
      </c>
      <c r="G48" s="25" t="str">
        <f aca="false">IF(A48="","",C48-E48)</f>
        <v/>
      </c>
      <c r="J48" s="20" t="n">
        <f aca="false">IF(AND('ورودی و مقایسه'!$B$14="آماده",ISNUMBER('ورودی و مقایسه'!$N$7)),('ورودی و مقایسه'!$L$7-1)+40,"")</f>
        <v>48</v>
      </c>
      <c r="K48" s="20" t="n">
        <f aca="false">IF(ISNUMBER(J48),'ورودی و مقایسه'!$K$7+INT(J48/12),"")</f>
        <v>1409</v>
      </c>
      <c r="L48" s="20" t="n">
        <f aca="false">IF(ISNUMBER(J48),MOD(J48,12)+1,"")</f>
        <v>1</v>
      </c>
      <c r="M48" s="20" t="n">
        <f aca="false">IF(NOT(ISNUMBER(J48)),"",IFERROR(IF(OR(K48&lt;1390,K48&gt;1429),"",MIN('ورودی و مقایسه'!$M$7,IF(L48&lt;=6,31,IF(L48&lt;=11,30,VLOOKUP(K48+1,تقویم!$A$2:$B$42,2,0)-VLOOKUP(K48,تقویم!$A$2:$B$42,2,0)-336)))),""))</f>
        <v>5</v>
      </c>
    </row>
    <row r="49" customFormat="false" ht="15" hidden="false" customHeight="true" outlineLevel="0" collapsed="false">
      <c r="A49" s="26" t="str">
        <f aca="false">IF('ورودی و مقایسه'!$B$14="آماده",IF(42&lt;='ورودی و مقایسه'!$B$6,42,""),"")</f>
        <v/>
      </c>
      <c r="B49" s="26" t="str">
        <f aca="false">IF(LEN(A49&amp;"")=0,"",IF(ISNUMBER(M49),K49&amp;"/"&amp;TEXT(L49,"00")&amp;"/"&amp;TEXT(M49,"00"),"تاریخ خارج از بازه"))</f>
        <v/>
      </c>
      <c r="C49" s="27" t="str">
        <f aca="false">IF(A49="","",G48)</f>
        <v/>
      </c>
      <c r="D49" s="27" t="str">
        <f aca="false">IF(LEN(A49&amp;"")=0,"",ROUND($C$4*A49/'ورودی و مقایسه'!$B$6,0)-ROUND($C$4*(A49-1)/'ورودی و مقایسه'!$B$6,0))</f>
        <v/>
      </c>
      <c r="E49" s="27" t="str">
        <f aca="false">IF(LEN(A49&amp;"")=0,"",IF(A49='ورودی و مقایسه'!$B$6,C49,MAX(0,MIN(C49,$F$4-D49))))</f>
        <v/>
      </c>
      <c r="F49" s="27" t="str">
        <f aca="false">IF(A49="","",D49+E49)</f>
        <v/>
      </c>
      <c r="G49" s="27" t="str">
        <f aca="false">IF(A49="","",C49-E49)</f>
        <v/>
      </c>
      <c r="J49" s="20" t="n">
        <f aca="false">IF(AND('ورودی و مقایسه'!$B$14="آماده",ISNUMBER('ورودی و مقایسه'!$N$7)),('ورودی و مقایسه'!$L$7-1)+41,"")</f>
        <v>49</v>
      </c>
      <c r="K49" s="20" t="n">
        <f aca="false">IF(ISNUMBER(J49),'ورودی و مقایسه'!$K$7+INT(J49/12),"")</f>
        <v>1409</v>
      </c>
      <c r="L49" s="20" t="n">
        <f aca="false">IF(ISNUMBER(J49),MOD(J49,12)+1,"")</f>
        <v>2</v>
      </c>
      <c r="M49" s="20" t="n">
        <f aca="false">IF(NOT(ISNUMBER(J49)),"",IFERROR(IF(OR(K49&lt;1390,K49&gt;1429),"",MIN('ورودی و مقایسه'!$M$7,IF(L49&lt;=6,31,IF(L49&lt;=11,30,VLOOKUP(K49+1,تقویم!$A$2:$B$42,2,0)-VLOOKUP(K49,تقویم!$A$2:$B$42,2,0)-336)))),""))</f>
        <v>5</v>
      </c>
    </row>
    <row r="50" customFormat="false" ht="15" hidden="false" customHeight="true" outlineLevel="0" collapsed="false">
      <c r="A50" s="24" t="str">
        <f aca="false">IF('ورودی و مقایسه'!$B$14="آماده",IF(43&lt;='ورودی و مقایسه'!$B$6,43,""),"")</f>
        <v/>
      </c>
      <c r="B50" s="24" t="str">
        <f aca="false">IF(LEN(A50&amp;"")=0,"",IF(ISNUMBER(M50),K50&amp;"/"&amp;TEXT(L50,"00")&amp;"/"&amp;TEXT(M50,"00"),"تاریخ خارج از بازه"))</f>
        <v/>
      </c>
      <c r="C50" s="25" t="str">
        <f aca="false">IF(A50="","",G49)</f>
        <v/>
      </c>
      <c r="D50" s="25" t="str">
        <f aca="false">IF(LEN(A50&amp;"")=0,"",ROUND($C$4*A50/'ورودی و مقایسه'!$B$6,0)-ROUND($C$4*(A50-1)/'ورودی و مقایسه'!$B$6,0))</f>
        <v/>
      </c>
      <c r="E50" s="25" t="str">
        <f aca="false">IF(LEN(A50&amp;"")=0,"",IF(A50='ورودی و مقایسه'!$B$6,C50,MAX(0,MIN(C50,$F$4-D50))))</f>
        <v/>
      </c>
      <c r="F50" s="25" t="str">
        <f aca="false">IF(A50="","",D50+E50)</f>
        <v/>
      </c>
      <c r="G50" s="25" t="str">
        <f aca="false">IF(A50="","",C50-E50)</f>
        <v/>
      </c>
      <c r="J50" s="20" t="n">
        <f aca="false">IF(AND('ورودی و مقایسه'!$B$14="آماده",ISNUMBER('ورودی و مقایسه'!$N$7)),('ورودی و مقایسه'!$L$7-1)+42,"")</f>
        <v>50</v>
      </c>
      <c r="K50" s="20" t="n">
        <f aca="false">IF(ISNUMBER(J50),'ورودی و مقایسه'!$K$7+INT(J50/12),"")</f>
        <v>1409</v>
      </c>
      <c r="L50" s="20" t="n">
        <f aca="false">IF(ISNUMBER(J50),MOD(J50,12)+1,"")</f>
        <v>3</v>
      </c>
      <c r="M50" s="20" t="n">
        <f aca="false">IF(NOT(ISNUMBER(J50)),"",IFERROR(IF(OR(K50&lt;1390,K50&gt;1429),"",MIN('ورودی و مقایسه'!$M$7,IF(L50&lt;=6,31,IF(L50&lt;=11,30,VLOOKUP(K50+1,تقویم!$A$2:$B$42,2,0)-VLOOKUP(K50,تقویم!$A$2:$B$42,2,0)-336)))),""))</f>
        <v>5</v>
      </c>
    </row>
    <row r="51" customFormat="false" ht="15" hidden="false" customHeight="true" outlineLevel="0" collapsed="false">
      <c r="A51" s="26" t="str">
        <f aca="false">IF('ورودی و مقایسه'!$B$14="آماده",IF(44&lt;='ورودی و مقایسه'!$B$6,44,""),"")</f>
        <v/>
      </c>
      <c r="B51" s="26" t="str">
        <f aca="false">IF(LEN(A51&amp;"")=0,"",IF(ISNUMBER(M51),K51&amp;"/"&amp;TEXT(L51,"00")&amp;"/"&amp;TEXT(M51,"00"),"تاریخ خارج از بازه"))</f>
        <v/>
      </c>
      <c r="C51" s="27" t="str">
        <f aca="false">IF(A51="","",G50)</f>
        <v/>
      </c>
      <c r="D51" s="27" t="str">
        <f aca="false">IF(LEN(A51&amp;"")=0,"",ROUND($C$4*A51/'ورودی و مقایسه'!$B$6,0)-ROUND($C$4*(A51-1)/'ورودی و مقایسه'!$B$6,0))</f>
        <v/>
      </c>
      <c r="E51" s="27" t="str">
        <f aca="false">IF(LEN(A51&amp;"")=0,"",IF(A51='ورودی و مقایسه'!$B$6,C51,MAX(0,MIN(C51,$F$4-D51))))</f>
        <v/>
      </c>
      <c r="F51" s="27" t="str">
        <f aca="false">IF(A51="","",D51+E51)</f>
        <v/>
      </c>
      <c r="G51" s="27" t="str">
        <f aca="false">IF(A51="","",C51-E51)</f>
        <v/>
      </c>
      <c r="J51" s="20" t="n">
        <f aca="false">IF(AND('ورودی و مقایسه'!$B$14="آماده",ISNUMBER('ورودی و مقایسه'!$N$7)),('ورودی و مقایسه'!$L$7-1)+43,"")</f>
        <v>51</v>
      </c>
      <c r="K51" s="20" t="n">
        <f aca="false">IF(ISNUMBER(J51),'ورودی و مقایسه'!$K$7+INT(J51/12),"")</f>
        <v>1409</v>
      </c>
      <c r="L51" s="20" t="n">
        <f aca="false">IF(ISNUMBER(J51),MOD(J51,12)+1,"")</f>
        <v>4</v>
      </c>
      <c r="M51" s="20" t="n">
        <f aca="false">IF(NOT(ISNUMBER(J51)),"",IFERROR(IF(OR(K51&lt;1390,K51&gt;1429),"",MIN('ورودی و مقایسه'!$M$7,IF(L51&lt;=6,31,IF(L51&lt;=11,30,VLOOKUP(K51+1,تقویم!$A$2:$B$42,2,0)-VLOOKUP(K51,تقویم!$A$2:$B$42,2,0)-336)))),""))</f>
        <v>5</v>
      </c>
    </row>
    <row r="52" customFormat="false" ht="15" hidden="false" customHeight="true" outlineLevel="0" collapsed="false">
      <c r="A52" s="24" t="str">
        <f aca="false">IF('ورودی و مقایسه'!$B$14="آماده",IF(45&lt;='ورودی و مقایسه'!$B$6,45,""),"")</f>
        <v/>
      </c>
      <c r="B52" s="24" t="str">
        <f aca="false">IF(LEN(A52&amp;"")=0,"",IF(ISNUMBER(M52),K52&amp;"/"&amp;TEXT(L52,"00")&amp;"/"&amp;TEXT(M52,"00"),"تاریخ خارج از بازه"))</f>
        <v/>
      </c>
      <c r="C52" s="25" t="str">
        <f aca="false">IF(A52="","",G51)</f>
        <v/>
      </c>
      <c r="D52" s="25" t="str">
        <f aca="false">IF(LEN(A52&amp;"")=0,"",ROUND($C$4*A52/'ورودی و مقایسه'!$B$6,0)-ROUND($C$4*(A52-1)/'ورودی و مقایسه'!$B$6,0))</f>
        <v/>
      </c>
      <c r="E52" s="25" t="str">
        <f aca="false">IF(LEN(A52&amp;"")=0,"",IF(A52='ورودی و مقایسه'!$B$6,C52,MAX(0,MIN(C52,$F$4-D52))))</f>
        <v/>
      </c>
      <c r="F52" s="25" t="str">
        <f aca="false">IF(A52="","",D52+E52)</f>
        <v/>
      </c>
      <c r="G52" s="25" t="str">
        <f aca="false">IF(A52="","",C52-E52)</f>
        <v/>
      </c>
      <c r="J52" s="20" t="n">
        <f aca="false">IF(AND('ورودی و مقایسه'!$B$14="آماده",ISNUMBER('ورودی و مقایسه'!$N$7)),('ورودی و مقایسه'!$L$7-1)+44,"")</f>
        <v>52</v>
      </c>
      <c r="K52" s="20" t="n">
        <f aca="false">IF(ISNUMBER(J52),'ورودی و مقایسه'!$K$7+INT(J52/12),"")</f>
        <v>1409</v>
      </c>
      <c r="L52" s="20" t="n">
        <f aca="false">IF(ISNUMBER(J52),MOD(J52,12)+1,"")</f>
        <v>5</v>
      </c>
      <c r="M52" s="20" t="n">
        <f aca="false">IF(NOT(ISNUMBER(J52)),"",IFERROR(IF(OR(K52&lt;1390,K52&gt;1429),"",MIN('ورودی و مقایسه'!$M$7,IF(L52&lt;=6,31,IF(L52&lt;=11,30,VLOOKUP(K52+1,تقویم!$A$2:$B$42,2,0)-VLOOKUP(K52,تقویم!$A$2:$B$42,2,0)-336)))),""))</f>
        <v>5</v>
      </c>
    </row>
    <row r="53" customFormat="false" ht="15" hidden="false" customHeight="true" outlineLevel="0" collapsed="false">
      <c r="A53" s="26" t="str">
        <f aca="false">IF('ورودی و مقایسه'!$B$14="آماده",IF(46&lt;='ورودی و مقایسه'!$B$6,46,""),"")</f>
        <v/>
      </c>
      <c r="B53" s="26" t="str">
        <f aca="false">IF(LEN(A53&amp;"")=0,"",IF(ISNUMBER(M53),K53&amp;"/"&amp;TEXT(L53,"00")&amp;"/"&amp;TEXT(M53,"00"),"تاریخ خارج از بازه"))</f>
        <v/>
      </c>
      <c r="C53" s="27" t="str">
        <f aca="false">IF(A53="","",G52)</f>
        <v/>
      </c>
      <c r="D53" s="27" t="str">
        <f aca="false">IF(LEN(A53&amp;"")=0,"",ROUND($C$4*A53/'ورودی و مقایسه'!$B$6,0)-ROUND($C$4*(A53-1)/'ورودی و مقایسه'!$B$6,0))</f>
        <v/>
      </c>
      <c r="E53" s="27" t="str">
        <f aca="false">IF(LEN(A53&amp;"")=0,"",IF(A53='ورودی و مقایسه'!$B$6,C53,MAX(0,MIN(C53,$F$4-D53))))</f>
        <v/>
      </c>
      <c r="F53" s="27" t="str">
        <f aca="false">IF(A53="","",D53+E53)</f>
        <v/>
      </c>
      <c r="G53" s="27" t="str">
        <f aca="false">IF(A53="","",C53-E53)</f>
        <v/>
      </c>
      <c r="J53" s="20" t="n">
        <f aca="false">IF(AND('ورودی و مقایسه'!$B$14="آماده",ISNUMBER('ورودی و مقایسه'!$N$7)),('ورودی و مقایسه'!$L$7-1)+45,"")</f>
        <v>53</v>
      </c>
      <c r="K53" s="20" t="n">
        <f aca="false">IF(ISNUMBER(J53),'ورودی و مقایسه'!$K$7+INT(J53/12),"")</f>
        <v>1409</v>
      </c>
      <c r="L53" s="20" t="n">
        <f aca="false">IF(ISNUMBER(J53),MOD(J53,12)+1,"")</f>
        <v>6</v>
      </c>
      <c r="M53" s="20" t="n">
        <f aca="false">IF(NOT(ISNUMBER(J53)),"",IFERROR(IF(OR(K53&lt;1390,K53&gt;1429),"",MIN('ورودی و مقایسه'!$M$7,IF(L53&lt;=6,31,IF(L53&lt;=11,30,VLOOKUP(K53+1,تقویم!$A$2:$B$42,2,0)-VLOOKUP(K53,تقویم!$A$2:$B$42,2,0)-336)))),""))</f>
        <v>5</v>
      </c>
    </row>
    <row r="54" customFormat="false" ht="15" hidden="false" customHeight="true" outlineLevel="0" collapsed="false">
      <c r="A54" s="24" t="str">
        <f aca="false">IF('ورودی و مقایسه'!$B$14="آماده",IF(47&lt;='ورودی و مقایسه'!$B$6,47,""),"")</f>
        <v/>
      </c>
      <c r="B54" s="24" t="str">
        <f aca="false">IF(LEN(A54&amp;"")=0,"",IF(ISNUMBER(M54),K54&amp;"/"&amp;TEXT(L54,"00")&amp;"/"&amp;TEXT(M54,"00"),"تاریخ خارج از بازه"))</f>
        <v/>
      </c>
      <c r="C54" s="25" t="str">
        <f aca="false">IF(A54="","",G53)</f>
        <v/>
      </c>
      <c r="D54" s="25" t="str">
        <f aca="false">IF(LEN(A54&amp;"")=0,"",ROUND($C$4*A54/'ورودی و مقایسه'!$B$6,0)-ROUND($C$4*(A54-1)/'ورودی و مقایسه'!$B$6,0))</f>
        <v/>
      </c>
      <c r="E54" s="25" t="str">
        <f aca="false">IF(LEN(A54&amp;"")=0,"",IF(A54='ورودی و مقایسه'!$B$6,C54,MAX(0,MIN(C54,$F$4-D54))))</f>
        <v/>
      </c>
      <c r="F54" s="25" t="str">
        <f aca="false">IF(A54="","",D54+E54)</f>
        <v/>
      </c>
      <c r="G54" s="25" t="str">
        <f aca="false">IF(A54="","",C54-E54)</f>
        <v/>
      </c>
      <c r="J54" s="20" t="n">
        <f aca="false">IF(AND('ورودی و مقایسه'!$B$14="آماده",ISNUMBER('ورودی و مقایسه'!$N$7)),('ورودی و مقایسه'!$L$7-1)+46,"")</f>
        <v>54</v>
      </c>
      <c r="K54" s="20" t="n">
        <f aca="false">IF(ISNUMBER(J54),'ورودی و مقایسه'!$K$7+INT(J54/12),"")</f>
        <v>1409</v>
      </c>
      <c r="L54" s="20" t="n">
        <f aca="false">IF(ISNUMBER(J54),MOD(J54,12)+1,"")</f>
        <v>7</v>
      </c>
      <c r="M54" s="20" t="n">
        <f aca="false">IF(NOT(ISNUMBER(J54)),"",IFERROR(IF(OR(K54&lt;1390,K54&gt;1429),"",MIN('ورودی و مقایسه'!$M$7,IF(L54&lt;=6,31,IF(L54&lt;=11,30,VLOOKUP(K54+1,تقویم!$A$2:$B$42,2,0)-VLOOKUP(K54,تقویم!$A$2:$B$42,2,0)-336)))),""))</f>
        <v>5</v>
      </c>
    </row>
    <row r="55" customFormat="false" ht="15" hidden="false" customHeight="true" outlineLevel="0" collapsed="false">
      <c r="A55" s="26" t="str">
        <f aca="false">IF('ورودی و مقایسه'!$B$14="آماده",IF(48&lt;='ورودی و مقایسه'!$B$6,48,""),"")</f>
        <v/>
      </c>
      <c r="B55" s="26" t="str">
        <f aca="false">IF(LEN(A55&amp;"")=0,"",IF(ISNUMBER(M55),K55&amp;"/"&amp;TEXT(L55,"00")&amp;"/"&amp;TEXT(M55,"00"),"تاریخ خارج از بازه"))</f>
        <v/>
      </c>
      <c r="C55" s="27" t="str">
        <f aca="false">IF(A55="","",G54)</f>
        <v/>
      </c>
      <c r="D55" s="27" t="str">
        <f aca="false">IF(LEN(A55&amp;"")=0,"",ROUND($C$4*A55/'ورودی و مقایسه'!$B$6,0)-ROUND($C$4*(A55-1)/'ورودی و مقایسه'!$B$6,0))</f>
        <v/>
      </c>
      <c r="E55" s="27" t="str">
        <f aca="false">IF(LEN(A55&amp;"")=0,"",IF(A55='ورودی و مقایسه'!$B$6,C55,MAX(0,MIN(C55,$F$4-D55))))</f>
        <v/>
      </c>
      <c r="F55" s="27" t="str">
        <f aca="false">IF(A55="","",D55+E55)</f>
        <v/>
      </c>
      <c r="G55" s="27" t="str">
        <f aca="false">IF(A55="","",C55-E55)</f>
        <v/>
      </c>
      <c r="J55" s="20" t="n">
        <f aca="false">IF(AND('ورودی و مقایسه'!$B$14="آماده",ISNUMBER('ورودی و مقایسه'!$N$7)),('ورودی و مقایسه'!$L$7-1)+47,"")</f>
        <v>55</v>
      </c>
      <c r="K55" s="20" t="n">
        <f aca="false">IF(ISNUMBER(J55),'ورودی و مقایسه'!$K$7+INT(J55/12),"")</f>
        <v>1409</v>
      </c>
      <c r="L55" s="20" t="n">
        <f aca="false">IF(ISNUMBER(J55),MOD(J55,12)+1,"")</f>
        <v>8</v>
      </c>
      <c r="M55" s="20" t="n">
        <f aca="false">IF(NOT(ISNUMBER(J55)),"",IFERROR(IF(OR(K55&lt;1390,K55&gt;1429),"",MIN('ورودی و مقایسه'!$M$7,IF(L55&lt;=6,31,IF(L55&lt;=11,30,VLOOKUP(K55+1,تقویم!$A$2:$B$42,2,0)-VLOOKUP(K55,تقویم!$A$2:$B$42,2,0)-336)))),""))</f>
        <v>5</v>
      </c>
    </row>
    <row r="56" customFormat="false" ht="15" hidden="false" customHeight="true" outlineLevel="0" collapsed="false">
      <c r="A56" s="24" t="str">
        <f aca="false">IF('ورودی و مقایسه'!$B$14="آماده",IF(49&lt;='ورودی و مقایسه'!$B$6,49,""),"")</f>
        <v/>
      </c>
      <c r="B56" s="24" t="str">
        <f aca="false">IF(LEN(A56&amp;"")=0,"",IF(ISNUMBER(M56),K56&amp;"/"&amp;TEXT(L56,"00")&amp;"/"&amp;TEXT(M56,"00"),"تاریخ خارج از بازه"))</f>
        <v/>
      </c>
      <c r="C56" s="25" t="str">
        <f aca="false">IF(A56="","",G55)</f>
        <v/>
      </c>
      <c r="D56" s="25" t="str">
        <f aca="false">IF(LEN(A56&amp;"")=0,"",ROUND($C$4*A56/'ورودی و مقایسه'!$B$6,0)-ROUND($C$4*(A56-1)/'ورودی و مقایسه'!$B$6,0))</f>
        <v/>
      </c>
      <c r="E56" s="25" t="str">
        <f aca="false">IF(LEN(A56&amp;"")=0,"",IF(A56='ورودی و مقایسه'!$B$6,C56,MAX(0,MIN(C56,$F$4-D56))))</f>
        <v/>
      </c>
      <c r="F56" s="25" t="str">
        <f aca="false">IF(A56="","",D56+E56)</f>
        <v/>
      </c>
      <c r="G56" s="25" t="str">
        <f aca="false">IF(A56="","",C56-E56)</f>
        <v/>
      </c>
      <c r="J56" s="20" t="n">
        <f aca="false">IF(AND('ورودی و مقایسه'!$B$14="آماده",ISNUMBER('ورودی و مقایسه'!$N$7)),('ورودی و مقایسه'!$L$7-1)+48,"")</f>
        <v>56</v>
      </c>
      <c r="K56" s="20" t="n">
        <f aca="false">IF(ISNUMBER(J56),'ورودی و مقایسه'!$K$7+INT(J56/12),"")</f>
        <v>1409</v>
      </c>
      <c r="L56" s="20" t="n">
        <f aca="false">IF(ISNUMBER(J56),MOD(J56,12)+1,"")</f>
        <v>9</v>
      </c>
      <c r="M56" s="20" t="n">
        <f aca="false">IF(NOT(ISNUMBER(J56)),"",IFERROR(IF(OR(K56&lt;1390,K56&gt;1429),"",MIN('ورودی و مقایسه'!$M$7,IF(L56&lt;=6,31,IF(L56&lt;=11,30,VLOOKUP(K56+1,تقویم!$A$2:$B$42,2,0)-VLOOKUP(K56,تقویم!$A$2:$B$42,2,0)-336)))),""))</f>
        <v>5</v>
      </c>
    </row>
    <row r="57" customFormat="false" ht="15" hidden="false" customHeight="true" outlineLevel="0" collapsed="false">
      <c r="A57" s="26" t="str">
        <f aca="false">IF('ورودی و مقایسه'!$B$14="آماده",IF(50&lt;='ورودی و مقایسه'!$B$6,50,""),"")</f>
        <v/>
      </c>
      <c r="B57" s="26" t="str">
        <f aca="false">IF(LEN(A57&amp;"")=0,"",IF(ISNUMBER(M57),K57&amp;"/"&amp;TEXT(L57,"00")&amp;"/"&amp;TEXT(M57,"00"),"تاریخ خارج از بازه"))</f>
        <v/>
      </c>
      <c r="C57" s="27" t="str">
        <f aca="false">IF(A57="","",G56)</f>
        <v/>
      </c>
      <c r="D57" s="27" t="str">
        <f aca="false">IF(LEN(A57&amp;"")=0,"",ROUND($C$4*A57/'ورودی و مقایسه'!$B$6,0)-ROUND($C$4*(A57-1)/'ورودی و مقایسه'!$B$6,0))</f>
        <v/>
      </c>
      <c r="E57" s="27" t="str">
        <f aca="false">IF(LEN(A57&amp;"")=0,"",IF(A57='ورودی و مقایسه'!$B$6,C57,MAX(0,MIN(C57,$F$4-D57))))</f>
        <v/>
      </c>
      <c r="F57" s="27" t="str">
        <f aca="false">IF(A57="","",D57+E57)</f>
        <v/>
      </c>
      <c r="G57" s="27" t="str">
        <f aca="false">IF(A57="","",C57-E57)</f>
        <v/>
      </c>
      <c r="J57" s="20" t="n">
        <f aca="false">IF(AND('ورودی و مقایسه'!$B$14="آماده",ISNUMBER('ورودی و مقایسه'!$N$7)),('ورودی و مقایسه'!$L$7-1)+49,"")</f>
        <v>57</v>
      </c>
      <c r="K57" s="20" t="n">
        <f aca="false">IF(ISNUMBER(J57),'ورودی و مقایسه'!$K$7+INT(J57/12),"")</f>
        <v>1409</v>
      </c>
      <c r="L57" s="20" t="n">
        <f aca="false">IF(ISNUMBER(J57),MOD(J57,12)+1,"")</f>
        <v>10</v>
      </c>
      <c r="M57" s="20" t="n">
        <f aca="false">IF(NOT(ISNUMBER(J57)),"",IFERROR(IF(OR(K57&lt;1390,K57&gt;1429),"",MIN('ورودی و مقایسه'!$M$7,IF(L57&lt;=6,31,IF(L57&lt;=11,30,VLOOKUP(K57+1,تقویم!$A$2:$B$42,2,0)-VLOOKUP(K57,تقویم!$A$2:$B$42,2,0)-336)))),""))</f>
        <v>5</v>
      </c>
    </row>
    <row r="58" customFormat="false" ht="15" hidden="false" customHeight="true" outlineLevel="0" collapsed="false">
      <c r="A58" s="24" t="str">
        <f aca="false">IF('ورودی و مقایسه'!$B$14="آماده",IF(51&lt;='ورودی و مقایسه'!$B$6,51,""),"")</f>
        <v/>
      </c>
      <c r="B58" s="24" t="str">
        <f aca="false">IF(LEN(A58&amp;"")=0,"",IF(ISNUMBER(M58),K58&amp;"/"&amp;TEXT(L58,"00")&amp;"/"&amp;TEXT(M58,"00"),"تاریخ خارج از بازه"))</f>
        <v/>
      </c>
      <c r="C58" s="25" t="str">
        <f aca="false">IF(A58="","",G57)</f>
        <v/>
      </c>
      <c r="D58" s="25" t="str">
        <f aca="false">IF(LEN(A58&amp;"")=0,"",ROUND($C$4*A58/'ورودی و مقایسه'!$B$6,0)-ROUND($C$4*(A58-1)/'ورودی و مقایسه'!$B$6,0))</f>
        <v/>
      </c>
      <c r="E58" s="25" t="str">
        <f aca="false">IF(LEN(A58&amp;"")=0,"",IF(A58='ورودی و مقایسه'!$B$6,C58,MAX(0,MIN(C58,$F$4-D58))))</f>
        <v/>
      </c>
      <c r="F58" s="25" t="str">
        <f aca="false">IF(A58="","",D58+E58)</f>
        <v/>
      </c>
      <c r="G58" s="25" t="str">
        <f aca="false">IF(A58="","",C58-E58)</f>
        <v/>
      </c>
      <c r="J58" s="20" t="n">
        <f aca="false">IF(AND('ورودی و مقایسه'!$B$14="آماده",ISNUMBER('ورودی و مقایسه'!$N$7)),('ورودی و مقایسه'!$L$7-1)+50,"")</f>
        <v>58</v>
      </c>
      <c r="K58" s="20" t="n">
        <f aca="false">IF(ISNUMBER(J58),'ورودی و مقایسه'!$K$7+INT(J58/12),"")</f>
        <v>1409</v>
      </c>
      <c r="L58" s="20" t="n">
        <f aca="false">IF(ISNUMBER(J58),MOD(J58,12)+1,"")</f>
        <v>11</v>
      </c>
      <c r="M58" s="20" t="n">
        <f aca="false">IF(NOT(ISNUMBER(J58)),"",IFERROR(IF(OR(K58&lt;1390,K58&gt;1429),"",MIN('ورودی و مقایسه'!$M$7,IF(L58&lt;=6,31,IF(L58&lt;=11,30,VLOOKUP(K58+1,تقویم!$A$2:$B$42,2,0)-VLOOKUP(K58,تقویم!$A$2:$B$42,2,0)-336)))),""))</f>
        <v>5</v>
      </c>
    </row>
    <row r="59" customFormat="false" ht="15" hidden="false" customHeight="true" outlineLevel="0" collapsed="false">
      <c r="A59" s="26" t="str">
        <f aca="false">IF('ورودی و مقایسه'!$B$14="آماده",IF(52&lt;='ورودی و مقایسه'!$B$6,52,""),"")</f>
        <v/>
      </c>
      <c r="B59" s="26" t="str">
        <f aca="false">IF(LEN(A59&amp;"")=0,"",IF(ISNUMBER(M59),K59&amp;"/"&amp;TEXT(L59,"00")&amp;"/"&amp;TEXT(M59,"00"),"تاریخ خارج از بازه"))</f>
        <v/>
      </c>
      <c r="C59" s="27" t="str">
        <f aca="false">IF(A59="","",G58)</f>
        <v/>
      </c>
      <c r="D59" s="27" t="str">
        <f aca="false">IF(LEN(A59&amp;"")=0,"",ROUND($C$4*A59/'ورودی و مقایسه'!$B$6,0)-ROUND($C$4*(A59-1)/'ورودی و مقایسه'!$B$6,0))</f>
        <v/>
      </c>
      <c r="E59" s="27" t="str">
        <f aca="false">IF(LEN(A59&amp;"")=0,"",IF(A59='ورودی و مقایسه'!$B$6,C59,MAX(0,MIN(C59,$F$4-D59))))</f>
        <v/>
      </c>
      <c r="F59" s="27" t="str">
        <f aca="false">IF(A59="","",D59+E59)</f>
        <v/>
      </c>
      <c r="G59" s="27" t="str">
        <f aca="false">IF(A59="","",C59-E59)</f>
        <v/>
      </c>
      <c r="J59" s="20" t="n">
        <f aca="false">IF(AND('ورودی و مقایسه'!$B$14="آماده",ISNUMBER('ورودی و مقایسه'!$N$7)),('ورودی و مقایسه'!$L$7-1)+51,"")</f>
        <v>59</v>
      </c>
      <c r="K59" s="20" t="n">
        <f aca="false">IF(ISNUMBER(J59),'ورودی و مقایسه'!$K$7+INT(J59/12),"")</f>
        <v>1409</v>
      </c>
      <c r="L59" s="20" t="n">
        <f aca="false">IF(ISNUMBER(J59),MOD(J59,12)+1,"")</f>
        <v>12</v>
      </c>
      <c r="M59" s="20" t="n">
        <f aca="false">IF(NOT(ISNUMBER(J59)),"",IFERROR(IF(OR(K59&lt;1390,K59&gt;1429),"",MIN('ورودی و مقایسه'!$M$7,IF(L59&lt;=6,31,IF(L59&lt;=11,30,VLOOKUP(K59+1,تقویم!$A$2:$B$42,2,0)-VLOOKUP(K59,تقویم!$A$2:$B$42,2,0)-336)))),""))</f>
        <v>5</v>
      </c>
    </row>
    <row r="60" customFormat="false" ht="15" hidden="false" customHeight="true" outlineLevel="0" collapsed="false">
      <c r="A60" s="24" t="str">
        <f aca="false">IF('ورودی و مقایسه'!$B$14="آماده",IF(53&lt;='ورودی و مقایسه'!$B$6,53,""),"")</f>
        <v/>
      </c>
      <c r="B60" s="24" t="str">
        <f aca="false">IF(LEN(A60&amp;"")=0,"",IF(ISNUMBER(M60),K60&amp;"/"&amp;TEXT(L60,"00")&amp;"/"&amp;TEXT(M60,"00"),"تاریخ خارج از بازه"))</f>
        <v/>
      </c>
      <c r="C60" s="25" t="str">
        <f aca="false">IF(A60="","",G59)</f>
        <v/>
      </c>
      <c r="D60" s="25" t="str">
        <f aca="false">IF(LEN(A60&amp;"")=0,"",ROUND($C$4*A60/'ورودی و مقایسه'!$B$6,0)-ROUND($C$4*(A60-1)/'ورودی و مقایسه'!$B$6,0))</f>
        <v/>
      </c>
      <c r="E60" s="25" t="str">
        <f aca="false">IF(LEN(A60&amp;"")=0,"",IF(A60='ورودی و مقایسه'!$B$6,C60,MAX(0,MIN(C60,$F$4-D60))))</f>
        <v/>
      </c>
      <c r="F60" s="25" t="str">
        <f aca="false">IF(A60="","",D60+E60)</f>
        <v/>
      </c>
      <c r="G60" s="25" t="str">
        <f aca="false">IF(A60="","",C60-E60)</f>
        <v/>
      </c>
      <c r="J60" s="20" t="n">
        <f aca="false">IF(AND('ورودی و مقایسه'!$B$14="آماده",ISNUMBER('ورودی و مقایسه'!$N$7)),('ورودی و مقایسه'!$L$7-1)+52,"")</f>
        <v>60</v>
      </c>
      <c r="K60" s="20" t="n">
        <f aca="false">IF(ISNUMBER(J60),'ورودی و مقایسه'!$K$7+INT(J60/12),"")</f>
        <v>1410</v>
      </c>
      <c r="L60" s="20" t="n">
        <f aca="false">IF(ISNUMBER(J60),MOD(J60,12)+1,"")</f>
        <v>1</v>
      </c>
      <c r="M60" s="20" t="n">
        <f aca="false">IF(NOT(ISNUMBER(J60)),"",IFERROR(IF(OR(K60&lt;1390,K60&gt;1429),"",MIN('ورودی و مقایسه'!$M$7,IF(L60&lt;=6,31,IF(L60&lt;=11,30,VLOOKUP(K60+1,تقویم!$A$2:$B$42,2,0)-VLOOKUP(K60,تقویم!$A$2:$B$42,2,0)-336)))),""))</f>
        <v>5</v>
      </c>
    </row>
    <row r="61" customFormat="false" ht="15" hidden="false" customHeight="true" outlineLevel="0" collapsed="false">
      <c r="A61" s="26" t="str">
        <f aca="false">IF('ورودی و مقایسه'!$B$14="آماده",IF(54&lt;='ورودی و مقایسه'!$B$6,54,""),"")</f>
        <v/>
      </c>
      <c r="B61" s="26" t="str">
        <f aca="false">IF(LEN(A61&amp;"")=0,"",IF(ISNUMBER(M61),K61&amp;"/"&amp;TEXT(L61,"00")&amp;"/"&amp;TEXT(M61,"00"),"تاریخ خارج از بازه"))</f>
        <v/>
      </c>
      <c r="C61" s="27" t="str">
        <f aca="false">IF(A61="","",G60)</f>
        <v/>
      </c>
      <c r="D61" s="27" t="str">
        <f aca="false">IF(LEN(A61&amp;"")=0,"",ROUND($C$4*A61/'ورودی و مقایسه'!$B$6,0)-ROUND($C$4*(A61-1)/'ورودی و مقایسه'!$B$6,0))</f>
        <v/>
      </c>
      <c r="E61" s="27" t="str">
        <f aca="false">IF(LEN(A61&amp;"")=0,"",IF(A61='ورودی و مقایسه'!$B$6,C61,MAX(0,MIN(C61,$F$4-D61))))</f>
        <v/>
      </c>
      <c r="F61" s="27" t="str">
        <f aca="false">IF(A61="","",D61+E61)</f>
        <v/>
      </c>
      <c r="G61" s="27" t="str">
        <f aca="false">IF(A61="","",C61-E61)</f>
        <v/>
      </c>
      <c r="J61" s="20" t="n">
        <f aca="false">IF(AND('ورودی و مقایسه'!$B$14="آماده",ISNUMBER('ورودی و مقایسه'!$N$7)),('ورودی و مقایسه'!$L$7-1)+53,"")</f>
        <v>61</v>
      </c>
      <c r="K61" s="20" t="n">
        <f aca="false">IF(ISNUMBER(J61),'ورودی و مقایسه'!$K$7+INT(J61/12),"")</f>
        <v>1410</v>
      </c>
      <c r="L61" s="20" t="n">
        <f aca="false">IF(ISNUMBER(J61),MOD(J61,12)+1,"")</f>
        <v>2</v>
      </c>
      <c r="M61" s="20" t="n">
        <f aca="false">IF(NOT(ISNUMBER(J61)),"",IFERROR(IF(OR(K61&lt;1390,K61&gt;1429),"",MIN('ورودی و مقایسه'!$M$7,IF(L61&lt;=6,31,IF(L61&lt;=11,30,VLOOKUP(K61+1,تقویم!$A$2:$B$42,2,0)-VLOOKUP(K61,تقویم!$A$2:$B$42,2,0)-336)))),""))</f>
        <v>5</v>
      </c>
    </row>
    <row r="62" customFormat="false" ht="15" hidden="false" customHeight="true" outlineLevel="0" collapsed="false">
      <c r="A62" s="24" t="str">
        <f aca="false">IF('ورودی و مقایسه'!$B$14="آماده",IF(55&lt;='ورودی و مقایسه'!$B$6,55,""),"")</f>
        <v/>
      </c>
      <c r="B62" s="24" t="str">
        <f aca="false">IF(LEN(A62&amp;"")=0,"",IF(ISNUMBER(M62),K62&amp;"/"&amp;TEXT(L62,"00")&amp;"/"&amp;TEXT(M62,"00"),"تاریخ خارج از بازه"))</f>
        <v/>
      </c>
      <c r="C62" s="25" t="str">
        <f aca="false">IF(A62="","",G61)</f>
        <v/>
      </c>
      <c r="D62" s="25" t="str">
        <f aca="false">IF(LEN(A62&amp;"")=0,"",ROUND($C$4*A62/'ورودی و مقایسه'!$B$6,0)-ROUND($C$4*(A62-1)/'ورودی و مقایسه'!$B$6,0))</f>
        <v/>
      </c>
      <c r="E62" s="25" t="str">
        <f aca="false">IF(LEN(A62&amp;"")=0,"",IF(A62='ورودی و مقایسه'!$B$6,C62,MAX(0,MIN(C62,$F$4-D62))))</f>
        <v/>
      </c>
      <c r="F62" s="25" t="str">
        <f aca="false">IF(A62="","",D62+E62)</f>
        <v/>
      </c>
      <c r="G62" s="25" t="str">
        <f aca="false">IF(A62="","",C62-E62)</f>
        <v/>
      </c>
      <c r="J62" s="20" t="n">
        <f aca="false">IF(AND('ورودی و مقایسه'!$B$14="آماده",ISNUMBER('ورودی و مقایسه'!$N$7)),('ورودی و مقایسه'!$L$7-1)+54,"")</f>
        <v>62</v>
      </c>
      <c r="K62" s="20" t="n">
        <f aca="false">IF(ISNUMBER(J62),'ورودی و مقایسه'!$K$7+INT(J62/12),"")</f>
        <v>1410</v>
      </c>
      <c r="L62" s="20" t="n">
        <f aca="false">IF(ISNUMBER(J62),MOD(J62,12)+1,"")</f>
        <v>3</v>
      </c>
      <c r="M62" s="20" t="n">
        <f aca="false">IF(NOT(ISNUMBER(J62)),"",IFERROR(IF(OR(K62&lt;1390,K62&gt;1429),"",MIN('ورودی و مقایسه'!$M$7,IF(L62&lt;=6,31,IF(L62&lt;=11,30,VLOOKUP(K62+1,تقویم!$A$2:$B$42,2,0)-VLOOKUP(K62,تقویم!$A$2:$B$42,2,0)-336)))),""))</f>
        <v>5</v>
      </c>
    </row>
    <row r="63" customFormat="false" ht="15" hidden="false" customHeight="true" outlineLevel="0" collapsed="false">
      <c r="A63" s="26" t="str">
        <f aca="false">IF('ورودی و مقایسه'!$B$14="آماده",IF(56&lt;='ورودی و مقایسه'!$B$6,56,""),"")</f>
        <v/>
      </c>
      <c r="B63" s="26" t="str">
        <f aca="false">IF(LEN(A63&amp;"")=0,"",IF(ISNUMBER(M63),K63&amp;"/"&amp;TEXT(L63,"00")&amp;"/"&amp;TEXT(M63,"00"),"تاریخ خارج از بازه"))</f>
        <v/>
      </c>
      <c r="C63" s="27" t="str">
        <f aca="false">IF(A63="","",G62)</f>
        <v/>
      </c>
      <c r="D63" s="27" t="str">
        <f aca="false">IF(LEN(A63&amp;"")=0,"",ROUND($C$4*A63/'ورودی و مقایسه'!$B$6,0)-ROUND($C$4*(A63-1)/'ورودی و مقایسه'!$B$6,0))</f>
        <v/>
      </c>
      <c r="E63" s="27" t="str">
        <f aca="false">IF(LEN(A63&amp;"")=0,"",IF(A63='ورودی و مقایسه'!$B$6,C63,MAX(0,MIN(C63,$F$4-D63))))</f>
        <v/>
      </c>
      <c r="F63" s="27" t="str">
        <f aca="false">IF(A63="","",D63+E63)</f>
        <v/>
      </c>
      <c r="G63" s="27" t="str">
        <f aca="false">IF(A63="","",C63-E63)</f>
        <v/>
      </c>
      <c r="J63" s="20" t="n">
        <f aca="false">IF(AND('ورودی و مقایسه'!$B$14="آماده",ISNUMBER('ورودی و مقایسه'!$N$7)),('ورودی و مقایسه'!$L$7-1)+55,"")</f>
        <v>63</v>
      </c>
      <c r="K63" s="20" t="n">
        <f aca="false">IF(ISNUMBER(J63),'ورودی و مقایسه'!$K$7+INT(J63/12),"")</f>
        <v>1410</v>
      </c>
      <c r="L63" s="20" t="n">
        <f aca="false">IF(ISNUMBER(J63),MOD(J63,12)+1,"")</f>
        <v>4</v>
      </c>
      <c r="M63" s="20" t="n">
        <f aca="false">IF(NOT(ISNUMBER(J63)),"",IFERROR(IF(OR(K63&lt;1390,K63&gt;1429),"",MIN('ورودی و مقایسه'!$M$7,IF(L63&lt;=6,31,IF(L63&lt;=11,30,VLOOKUP(K63+1,تقویم!$A$2:$B$42,2,0)-VLOOKUP(K63,تقویم!$A$2:$B$42,2,0)-336)))),""))</f>
        <v>5</v>
      </c>
    </row>
    <row r="64" customFormat="false" ht="15" hidden="false" customHeight="true" outlineLevel="0" collapsed="false">
      <c r="A64" s="24" t="str">
        <f aca="false">IF('ورودی و مقایسه'!$B$14="آماده",IF(57&lt;='ورودی و مقایسه'!$B$6,57,""),"")</f>
        <v/>
      </c>
      <c r="B64" s="24" t="str">
        <f aca="false">IF(LEN(A64&amp;"")=0,"",IF(ISNUMBER(M64),K64&amp;"/"&amp;TEXT(L64,"00")&amp;"/"&amp;TEXT(M64,"00"),"تاریخ خارج از بازه"))</f>
        <v/>
      </c>
      <c r="C64" s="25" t="str">
        <f aca="false">IF(A64="","",G63)</f>
        <v/>
      </c>
      <c r="D64" s="25" t="str">
        <f aca="false">IF(LEN(A64&amp;"")=0,"",ROUND($C$4*A64/'ورودی و مقایسه'!$B$6,0)-ROUND($C$4*(A64-1)/'ورودی و مقایسه'!$B$6,0))</f>
        <v/>
      </c>
      <c r="E64" s="25" t="str">
        <f aca="false">IF(LEN(A64&amp;"")=0,"",IF(A64='ورودی و مقایسه'!$B$6,C64,MAX(0,MIN(C64,$F$4-D64))))</f>
        <v/>
      </c>
      <c r="F64" s="25" t="str">
        <f aca="false">IF(A64="","",D64+E64)</f>
        <v/>
      </c>
      <c r="G64" s="25" t="str">
        <f aca="false">IF(A64="","",C64-E64)</f>
        <v/>
      </c>
      <c r="J64" s="20" t="n">
        <f aca="false">IF(AND('ورودی و مقایسه'!$B$14="آماده",ISNUMBER('ورودی و مقایسه'!$N$7)),('ورودی و مقایسه'!$L$7-1)+56,"")</f>
        <v>64</v>
      </c>
      <c r="K64" s="20" t="n">
        <f aca="false">IF(ISNUMBER(J64),'ورودی و مقایسه'!$K$7+INT(J64/12),"")</f>
        <v>1410</v>
      </c>
      <c r="L64" s="20" t="n">
        <f aca="false">IF(ISNUMBER(J64),MOD(J64,12)+1,"")</f>
        <v>5</v>
      </c>
      <c r="M64" s="20" t="n">
        <f aca="false">IF(NOT(ISNUMBER(J64)),"",IFERROR(IF(OR(K64&lt;1390,K64&gt;1429),"",MIN('ورودی و مقایسه'!$M$7,IF(L64&lt;=6,31,IF(L64&lt;=11,30,VLOOKUP(K64+1,تقویم!$A$2:$B$42,2,0)-VLOOKUP(K64,تقویم!$A$2:$B$42,2,0)-336)))),""))</f>
        <v>5</v>
      </c>
    </row>
    <row r="65" customFormat="false" ht="15" hidden="false" customHeight="true" outlineLevel="0" collapsed="false">
      <c r="A65" s="26" t="str">
        <f aca="false">IF('ورودی و مقایسه'!$B$14="آماده",IF(58&lt;='ورودی و مقایسه'!$B$6,58,""),"")</f>
        <v/>
      </c>
      <c r="B65" s="26" t="str">
        <f aca="false">IF(LEN(A65&amp;"")=0,"",IF(ISNUMBER(M65),K65&amp;"/"&amp;TEXT(L65,"00")&amp;"/"&amp;TEXT(M65,"00"),"تاریخ خارج از بازه"))</f>
        <v/>
      </c>
      <c r="C65" s="27" t="str">
        <f aca="false">IF(A65="","",G64)</f>
        <v/>
      </c>
      <c r="D65" s="27" t="str">
        <f aca="false">IF(LEN(A65&amp;"")=0,"",ROUND($C$4*A65/'ورودی و مقایسه'!$B$6,0)-ROUND($C$4*(A65-1)/'ورودی و مقایسه'!$B$6,0))</f>
        <v/>
      </c>
      <c r="E65" s="27" t="str">
        <f aca="false">IF(LEN(A65&amp;"")=0,"",IF(A65='ورودی و مقایسه'!$B$6,C65,MAX(0,MIN(C65,$F$4-D65))))</f>
        <v/>
      </c>
      <c r="F65" s="27" t="str">
        <f aca="false">IF(A65="","",D65+E65)</f>
        <v/>
      </c>
      <c r="G65" s="27" t="str">
        <f aca="false">IF(A65="","",C65-E65)</f>
        <v/>
      </c>
      <c r="J65" s="20" t="n">
        <f aca="false">IF(AND('ورودی و مقایسه'!$B$14="آماده",ISNUMBER('ورودی و مقایسه'!$N$7)),('ورودی و مقایسه'!$L$7-1)+57,"")</f>
        <v>65</v>
      </c>
      <c r="K65" s="20" t="n">
        <f aca="false">IF(ISNUMBER(J65),'ورودی و مقایسه'!$K$7+INT(J65/12),"")</f>
        <v>1410</v>
      </c>
      <c r="L65" s="20" t="n">
        <f aca="false">IF(ISNUMBER(J65),MOD(J65,12)+1,"")</f>
        <v>6</v>
      </c>
      <c r="M65" s="20" t="n">
        <f aca="false">IF(NOT(ISNUMBER(J65)),"",IFERROR(IF(OR(K65&lt;1390,K65&gt;1429),"",MIN('ورودی و مقایسه'!$M$7,IF(L65&lt;=6,31,IF(L65&lt;=11,30,VLOOKUP(K65+1,تقویم!$A$2:$B$42,2,0)-VLOOKUP(K65,تقویم!$A$2:$B$42,2,0)-336)))),""))</f>
        <v>5</v>
      </c>
    </row>
    <row r="66" customFormat="false" ht="15" hidden="false" customHeight="true" outlineLevel="0" collapsed="false">
      <c r="A66" s="24" t="str">
        <f aca="false">IF('ورودی و مقایسه'!$B$14="آماده",IF(59&lt;='ورودی و مقایسه'!$B$6,59,""),"")</f>
        <v/>
      </c>
      <c r="B66" s="24" t="str">
        <f aca="false">IF(LEN(A66&amp;"")=0,"",IF(ISNUMBER(M66),K66&amp;"/"&amp;TEXT(L66,"00")&amp;"/"&amp;TEXT(M66,"00"),"تاریخ خارج از بازه"))</f>
        <v/>
      </c>
      <c r="C66" s="25" t="str">
        <f aca="false">IF(A66="","",G65)</f>
        <v/>
      </c>
      <c r="D66" s="25" t="str">
        <f aca="false">IF(LEN(A66&amp;"")=0,"",ROUND($C$4*A66/'ورودی و مقایسه'!$B$6,0)-ROUND($C$4*(A66-1)/'ورودی و مقایسه'!$B$6,0))</f>
        <v/>
      </c>
      <c r="E66" s="25" t="str">
        <f aca="false">IF(LEN(A66&amp;"")=0,"",IF(A66='ورودی و مقایسه'!$B$6,C66,MAX(0,MIN(C66,$F$4-D66))))</f>
        <v/>
      </c>
      <c r="F66" s="25" t="str">
        <f aca="false">IF(A66="","",D66+E66)</f>
        <v/>
      </c>
      <c r="G66" s="25" t="str">
        <f aca="false">IF(A66="","",C66-E66)</f>
        <v/>
      </c>
      <c r="J66" s="20" t="n">
        <f aca="false">IF(AND('ورودی و مقایسه'!$B$14="آماده",ISNUMBER('ورودی و مقایسه'!$N$7)),('ورودی و مقایسه'!$L$7-1)+58,"")</f>
        <v>66</v>
      </c>
      <c r="K66" s="20" t="n">
        <f aca="false">IF(ISNUMBER(J66),'ورودی و مقایسه'!$K$7+INT(J66/12),"")</f>
        <v>1410</v>
      </c>
      <c r="L66" s="20" t="n">
        <f aca="false">IF(ISNUMBER(J66),MOD(J66,12)+1,"")</f>
        <v>7</v>
      </c>
      <c r="M66" s="20" t="n">
        <f aca="false">IF(NOT(ISNUMBER(J66)),"",IFERROR(IF(OR(K66&lt;1390,K66&gt;1429),"",MIN('ورودی و مقایسه'!$M$7,IF(L66&lt;=6,31,IF(L66&lt;=11,30,VLOOKUP(K66+1,تقویم!$A$2:$B$42,2,0)-VLOOKUP(K66,تقویم!$A$2:$B$42,2,0)-336)))),""))</f>
        <v>5</v>
      </c>
    </row>
    <row r="67" customFormat="false" ht="15" hidden="false" customHeight="true" outlineLevel="0" collapsed="false">
      <c r="A67" s="26" t="str">
        <f aca="false">IF('ورودی و مقایسه'!$B$14="آماده",IF(60&lt;='ورودی و مقایسه'!$B$6,60,""),"")</f>
        <v/>
      </c>
      <c r="B67" s="26" t="str">
        <f aca="false">IF(LEN(A67&amp;"")=0,"",IF(ISNUMBER(M67),K67&amp;"/"&amp;TEXT(L67,"00")&amp;"/"&amp;TEXT(M67,"00"),"تاریخ خارج از بازه"))</f>
        <v/>
      </c>
      <c r="C67" s="27" t="str">
        <f aca="false">IF(A67="","",G66)</f>
        <v/>
      </c>
      <c r="D67" s="27" t="str">
        <f aca="false">IF(LEN(A67&amp;"")=0,"",ROUND($C$4*A67/'ورودی و مقایسه'!$B$6,0)-ROUND($C$4*(A67-1)/'ورودی و مقایسه'!$B$6,0))</f>
        <v/>
      </c>
      <c r="E67" s="27" t="str">
        <f aca="false">IF(LEN(A67&amp;"")=0,"",IF(A67='ورودی و مقایسه'!$B$6,C67,MAX(0,MIN(C67,$F$4-D67))))</f>
        <v/>
      </c>
      <c r="F67" s="27" t="str">
        <f aca="false">IF(A67="","",D67+E67)</f>
        <v/>
      </c>
      <c r="G67" s="27" t="str">
        <f aca="false">IF(A67="","",C67-E67)</f>
        <v/>
      </c>
      <c r="J67" s="20" t="n">
        <f aca="false">IF(AND('ورودی و مقایسه'!$B$14="آماده",ISNUMBER('ورودی و مقایسه'!$N$7)),('ورودی و مقایسه'!$L$7-1)+59,"")</f>
        <v>67</v>
      </c>
      <c r="K67" s="20" t="n">
        <f aca="false">IF(ISNUMBER(J67),'ورودی و مقایسه'!$K$7+INT(J67/12),"")</f>
        <v>1410</v>
      </c>
      <c r="L67" s="20" t="n">
        <f aca="false">IF(ISNUMBER(J67),MOD(J67,12)+1,"")</f>
        <v>8</v>
      </c>
      <c r="M67" s="20" t="n">
        <f aca="false">IF(NOT(ISNUMBER(J67)),"",IFERROR(IF(OR(K67&lt;1390,K67&gt;1429),"",MIN('ورودی و مقایسه'!$M$7,IF(L67&lt;=6,31,IF(L67&lt;=11,30,VLOOKUP(K67+1,تقویم!$A$2:$B$42,2,0)-VLOOKUP(K67,تقویم!$A$2:$B$42,2,0)-336)))),""))</f>
        <v>5</v>
      </c>
    </row>
  </sheetData>
  <sheetProtection sheet="true" formatColumns="false" formatRows="false"/>
  <mergeCells count="3">
    <mergeCell ref="A1:G1"/>
    <mergeCell ref="A2:G2"/>
    <mergeCell ref="A4:B4"/>
  </mergeCells>
  <conditionalFormatting sqref="B8:B67">
    <cfRule type="containsText" priority="2" operator="containsText" aboveAverage="0" equalAverage="0" bottom="0" percent="0" rank="0" text="نامعتبر" dxfId="0">
      <formula>NOT(ISERROR(SEARCH("نامعتبر",B8)))</formula>
    </cfRule>
    <cfRule type="containsText" priority="3" operator="containsText" aboveAverage="0" equalAverage="0" bottom="0" percent="0" rank="0" text="ناقص" dxfId="0">
      <formula>NOT(ISERROR(SEARCH("ناقص",B8)))</formula>
    </cfRule>
    <cfRule type="containsText" priority="4" operator="containsText" aboveAverage="0" equalAverage="0" bottom="0" percent="0" rank="0" text="تعریف‌نشده" dxfId="0">
      <formula>NOT(ISERROR(SEARCH("تعریف‌نشده",B8)))</formula>
    </cfRule>
    <cfRule type="containsText" priority="5" operator="containsText" aboveAverage="0" equalAverage="0" bottom="0" percent="0" rank="0" text="بیش از" dxfId="0">
      <formula>NOT(ISERROR(SEARCH("بیش از",B8)))</formula>
    </cfRule>
    <cfRule type="containsText" priority="6" operator="containsText" aboveAverage="0" equalAverage="0" bottom="0" percent="0" rank="0" text="اصلاح کنید" dxfId="0">
      <formula>NOT(ISERROR(SEARCH("اصلاح کنید",B8)))</formula>
    </cfRule>
    <cfRule type="containsText" priority="7" operator="containsText" aboveAverage="0" equalAverage="0" bottom="0" percent="0" rank="0" text="وارد کنید" dxfId="0">
      <formula>NOT(ISERROR(SEARCH("وارد کنید",B8)))</formula>
    </cfRule>
  </conditionalFormatting>
  <conditionalFormatting sqref="C4:F4">
    <cfRule type="containsText" priority="8" operator="containsText" aboveAverage="0" equalAverage="0" bottom="0" percent="0" rank="0" text="نامعتبر" dxfId="0">
      <formula>NOT(ISERROR(SEARCH("نامعتبر",C4)))</formula>
    </cfRule>
    <cfRule type="containsText" priority="9" operator="containsText" aboveAverage="0" equalAverage="0" bottom="0" percent="0" rank="0" text="ناقص" dxfId="0">
      <formula>NOT(ISERROR(SEARCH("ناقص",C4)))</formula>
    </cfRule>
    <cfRule type="containsText" priority="10" operator="containsText" aboveAverage="0" equalAverage="0" bottom="0" percent="0" rank="0" text="تعریف‌نشده" dxfId="0">
      <formula>NOT(ISERROR(SEARCH("تعریف‌نشده",C4)))</formula>
    </cfRule>
    <cfRule type="containsText" priority="11" operator="containsText" aboveAverage="0" equalAverage="0" bottom="0" percent="0" rank="0" text="بیش از" dxfId="0">
      <formula>NOT(ISERROR(SEARCH("بیش از",C4)))</formula>
    </cfRule>
    <cfRule type="containsText" priority="12" operator="containsText" aboveAverage="0" equalAverage="0" bottom="0" percent="0" rank="0" text="اصلاح کنید" dxfId="0">
      <formula>NOT(ISERROR(SEARCH("اصلاح کنید",C4)))</formula>
    </cfRule>
    <cfRule type="containsText" priority="13" operator="containsText" aboveAverage="0" equalAverage="0" bottom="0" percent="0" rank="0" text="وارد کنید" dxfId="0">
      <formula>NOT(ISERROR(SEARCH("وارد کنید",C4)))</formula>
    </cfRule>
  </conditionalFormatting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D42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6"/>
  </cols>
  <sheetData>
    <row r="1" customFormat="false" ht="51.75" hidden="false" customHeight="true" outlineLevel="0" collapsed="false">
      <c r="A1" s="28" t="s">
        <v>47</v>
      </c>
      <c r="B1" s="28" t="s">
        <v>48</v>
      </c>
      <c r="D1" s="9" t="s">
        <v>49</v>
      </c>
    </row>
    <row r="2" customFormat="false" ht="42" hidden="false" customHeight="true" outlineLevel="0" collapsed="false">
      <c r="A2" s="29" t="n">
        <v>1390</v>
      </c>
      <c r="B2" s="30" t="n">
        <v>40623</v>
      </c>
      <c r="D2" s="31" t="s">
        <v>50</v>
      </c>
    </row>
    <row r="3" customFormat="false" ht="15" hidden="false" customHeight="true" outlineLevel="0" collapsed="false">
      <c r="A3" s="29" t="n">
        <v>1391</v>
      </c>
      <c r="B3" s="30" t="n">
        <v>40988</v>
      </c>
    </row>
    <row r="4" customFormat="false" ht="15" hidden="false" customHeight="true" outlineLevel="0" collapsed="false">
      <c r="A4" s="29" t="n">
        <v>1392</v>
      </c>
      <c r="B4" s="30" t="n">
        <v>41354</v>
      </c>
    </row>
    <row r="5" customFormat="false" ht="15" hidden="false" customHeight="true" outlineLevel="0" collapsed="false">
      <c r="A5" s="29" t="n">
        <v>1393</v>
      </c>
      <c r="B5" s="30" t="n">
        <v>41719</v>
      </c>
    </row>
    <row r="6" customFormat="false" ht="15" hidden="false" customHeight="true" outlineLevel="0" collapsed="false">
      <c r="A6" s="29" t="n">
        <v>1394</v>
      </c>
      <c r="B6" s="30" t="n">
        <v>42084</v>
      </c>
    </row>
    <row r="7" customFormat="false" ht="15" hidden="false" customHeight="true" outlineLevel="0" collapsed="false">
      <c r="A7" s="29" t="n">
        <v>1395</v>
      </c>
      <c r="B7" s="30" t="n">
        <v>42449</v>
      </c>
    </row>
    <row r="8" customFormat="false" ht="15" hidden="false" customHeight="true" outlineLevel="0" collapsed="false">
      <c r="A8" s="29" t="n">
        <v>1396</v>
      </c>
      <c r="B8" s="30" t="n">
        <v>42815</v>
      </c>
    </row>
    <row r="9" customFormat="false" ht="15" hidden="false" customHeight="true" outlineLevel="0" collapsed="false">
      <c r="A9" s="29" t="n">
        <v>1397</v>
      </c>
      <c r="B9" s="30" t="n">
        <v>43180</v>
      </c>
    </row>
    <row r="10" customFormat="false" ht="15" hidden="false" customHeight="true" outlineLevel="0" collapsed="false">
      <c r="A10" s="29" t="n">
        <v>1398</v>
      </c>
      <c r="B10" s="30" t="n">
        <v>43545</v>
      </c>
    </row>
    <row r="11" customFormat="false" ht="15" hidden="false" customHeight="true" outlineLevel="0" collapsed="false">
      <c r="A11" s="29" t="n">
        <v>1399</v>
      </c>
      <c r="B11" s="30" t="n">
        <v>43910</v>
      </c>
    </row>
    <row r="12" customFormat="false" ht="15" hidden="false" customHeight="true" outlineLevel="0" collapsed="false">
      <c r="A12" s="29" t="n">
        <v>1400</v>
      </c>
      <c r="B12" s="30" t="n">
        <v>44276</v>
      </c>
    </row>
    <row r="13" customFormat="false" ht="15" hidden="false" customHeight="true" outlineLevel="0" collapsed="false">
      <c r="A13" s="29" t="n">
        <v>1401</v>
      </c>
      <c r="B13" s="30" t="n">
        <v>44641</v>
      </c>
    </row>
    <row r="14" customFormat="false" ht="15" hidden="false" customHeight="true" outlineLevel="0" collapsed="false">
      <c r="A14" s="29" t="n">
        <v>1402</v>
      </c>
      <c r="B14" s="30" t="n">
        <v>45006</v>
      </c>
    </row>
    <row r="15" customFormat="false" ht="15" hidden="false" customHeight="true" outlineLevel="0" collapsed="false">
      <c r="A15" s="29" t="n">
        <v>1403</v>
      </c>
      <c r="B15" s="30" t="n">
        <v>45371</v>
      </c>
    </row>
    <row r="16" customFormat="false" ht="15" hidden="false" customHeight="true" outlineLevel="0" collapsed="false">
      <c r="A16" s="29" t="n">
        <v>1404</v>
      </c>
      <c r="B16" s="30" t="n">
        <v>45737</v>
      </c>
    </row>
    <row r="17" customFormat="false" ht="15" hidden="false" customHeight="true" outlineLevel="0" collapsed="false">
      <c r="A17" s="29" t="n">
        <v>1405</v>
      </c>
      <c r="B17" s="30" t="n">
        <v>46102</v>
      </c>
    </row>
    <row r="18" customFormat="false" ht="15" hidden="false" customHeight="true" outlineLevel="0" collapsed="false">
      <c r="A18" s="29" t="n">
        <v>1406</v>
      </c>
      <c r="B18" s="30" t="n">
        <v>46467</v>
      </c>
    </row>
    <row r="19" customFormat="false" ht="15" hidden="false" customHeight="true" outlineLevel="0" collapsed="false">
      <c r="A19" s="29" t="n">
        <v>1407</v>
      </c>
      <c r="B19" s="30" t="n">
        <v>46832</v>
      </c>
    </row>
    <row r="20" customFormat="false" ht="15" hidden="false" customHeight="true" outlineLevel="0" collapsed="false">
      <c r="A20" s="29" t="n">
        <v>1408</v>
      </c>
      <c r="B20" s="30" t="n">
        <v>47197</v>
      </c>
    </row>
    <row r="21" customFormat="false" ht="15" hidden="false" customHeight="true" outlineLevel="0" collapsed="false">
      <c r="A21" s="29" t="n">
        <v>1409</v>
      </c>
      <c r="B21" s="30" t="n">
        <v>47563</v>
      </c>
    </row>
    <row r="22" customFormat="false" ht="15" hidden="false" customHeight="true" outlineLevel="0" collapsed="false">
      <c r="A22" s="29" t="n">
        <v>1410</v>
      </c>
      <c r="B22" s="30" t="n">
        <v>47928</v>
      </c>
    </row>
    <row r="23" customFormat="false" ht="15" hidden="false" customHeight="true" outlineLevel="0" collapsed="false">
      <c r="A23" s="29" t="n">
        <v>1411</v>
      </c>
      <c r="B23" s="30" t="n">
        <v>48293</v>
      </c>
    </row>
    <row r="24" customFormat="false" ht="15" hidden="false" customHeight="true" outlineLevel="0" collapsed="false">
      <c r="A24" s="29" t="n">
        <v>1412</v>
      </c>
      <c r="B24" s="30" t="n">
        <v>48658</v>
      </c>
    </row>
    <row r="25" customFormat="false" ht="15" hidden="false" customHeight="true" outlineLevel="0" collapsed="false">
      <c r="A25" s="29" t="n">
        <v>1413</v>
      </c>
      <c r="B25" s="30" t="n">
        <v>49024</v>
      </c>
    </row>
    <row r="26" customFormat="false" ht="15" hidden="false" customHeight="true" outlineLevel="0" collapsed="false">
      <c r="A26" s="29" t="n">
        <v>1414</v>
      </c>
      <c r="B26" s="30" t="n">
        <v>49389</v>
      </c>
    </row>
    <row r="27" customFormat="false" ht="15" hidden="false" customHeight="true" outlineLevel="0" collapsed="false">
      <c r="A27" s="29" t="n">
        <v>1415</v>
      </c>
      <c r="B27" s="30" t="n">
        <v>49754</v>
      </c>
    </row>
    <row r="28" customFormat="false" ht="15" hidden="false" customHeight="true" outlineLevel="0" collapsed="false">
      <c r="A28" s="29" t="n">
        <v>1416</v>
      </c>
      <c r="B28" s="30" t="n">
        <v>50119</v>
      </c>
    </row>
    <row r="29" customFormat="false" ht="15" hidden="false" customHeight="true" outlineLevel="0" collapsed="false">
      <c r="A29" s="29" t="n">
        <v>1417</v>
      </c>
      <c r="B29" s="30" t="n">
        <v>50485</v>
      </c>
    </row>
    <row r="30" customFormat="false" ht="15" hidden="false" customHeight="true" outlineLevel="0" collapsed="false">
      <c r="A30" s="29" t="n">
        <v>1418</v>
      </c>
      <c r="B30" s="30" t="n">
        <v>50850</v>
      </c>
    </row>
    <row r="31" customFormat="false" ht="15" hidden="false" customHeight="true" outlineLevel="0" collapsed="false">
      <c r="A31" s="29" t="n">
        <v>1419</v>
      </c>
      <c r="B31" s="30" t="n">
        <v>51215</v>
      </c>
    </row>
    <row r="32" customFormat="false" ht="15" hidden="false" customHeight="true" outlineLevel="0" collapsed="false">
      <c r="A32" s="29" t="n">
        <v>1420</v>
      </c>
      <c r="B32" s="30" t="n">
        <v>51580</v>
      </c>
    </row>
    <row r="33" customFormat="false" ht="15" hidden="false" customHeight="true" outlineLevel="0" collapsed="false">
      <c r="A33" s="29" t="n">
        <v>1421</v>
      </c>
      <c r="B33" s="30" t="n">
        <v>51946</v>
      </c>
    </row>
    <row r="34" customFormat="false" ht="15" hidden="false" customHeight="true" outlineLevel="0" collapsed="false">
      <c r="A34" s="29" t="n">
        <v>1422</v>
      </c>
      <c r="B34" s="30" t="n">
        <v>52311</v>
      </c>
    </row>
    <row r="35" customFormat="false" ht="15" hidden="false" customHeight="true" outlineLevel="0" collapsed="false">
      <c r="A35" s="29" t="n">
        <v>1423</v>
      </c>
      <c r="B35" s="30" t="n">
        <v>52676</v>
      </c>
    </row>
    <row r="36" customFormat="false" ht="15" hidden="false" customHeight="true" outlineLevel="0" collapsed="false">
      <c r="A36" s="29" t="n">
        <v>1424</v>
      </c>
      <c r="B36" s="30" t="n">
        <v>53041</v>
      </c>
    </row>
    <row r="37" customFormat="false" ht="15" hidden="false" customHeight="true" outlineLevel="0" collapsed="false">
      <c r="A37" s="29" t="n">
        <v>1425</v>
      </c>
      <c r="B37" s="30" t="n">
        <v>53407</v>
      </c>
    </row>
    <row r="38" customFormat="false" ht="15" hidden="false" customHeight="true" outlineLevel="0" collapsed="false">
      <c r="A38" s="29" t="n">
        <v>1426</v>
      </c>
      <c r="B38" s="30" t="n">
        <v>53772</v>
      </c>
    </row>
    <row r="39" customFormat="false" ht="15" hidden="false" customHeight="true" outlineLevel="0" collapsed="false">
      <c r="A39" s="29" t="n">
        <v>1427</v>
      </c>
      <c r="B39" s="30" t="n">
        <v>54137</v>
      </c>
    </row>
    <row r="40" customFormat="false" ht="15" hidden="false" customHeight="true" outlineLevel="0" collapsed="false">
      <c r="A40" s="29" t="n">
        <v>1428</v>
      </c>
      <c r="B40" s="30" t="n">
        <v>54502</v>
      </c>
    </row>
    <row r="41" customFormat="false" ht="15" hidden="false" customHeight="true" outlineLevel="0" collapsed="false">
      <c r="A41" s="29" t="n">
        <v>1429</v>
      </c>
      <c r="B41" s="30" t="n">
        <v>54868</v>
      </c>
    </row>
    <row r="42" customFormat="false" ht="15" hidden="false" customHeight="true" outlineLevel="0" collapsed="false">
      <c r="A42" s="29" t="n">
        <v>1430</v>
      </c>
      <c r="B42" s="30" t="n">
        <v>55233</v>
      </c>
    </row>
  </sheetData>
  <sheetProtection sheet="true" formatColumns="false" formatRows="false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2026-10-27T18:59:21Z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2026-10-27T18:59:21Z</dcterms:modified>
  <cp:revision>0</cp:revision>
  <dc:subject>فایل نمونهٔ رایگان — hrfinance.xyz/tools</dc:subject>
  <dc:title>محاسبهٔ اقساط وام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